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60" windowWidth="15450" windowHeight="11760"/>
  </bookViews>
  <sheets>
    <sheet name="Приложение 2 ч.1" sheetId="2" r:id="rId1"/>
    <sheet name="Приложение 2 ч.2" sheetId="3" r:id="rId2"/>
    <sheet name="Приложение 2 ч.3" sheetId="4" r:id="rId3"/>
    <sheet name="Приложение 2 ч.4" sheetId="5" r:id="rId4"/>
  </sheets>
  <definedNames>
    <definedName name="_xlnm.Print_Area" localSheetId="0">'Приложение 2 ч.1'!$A$1:$S$46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K37" i="2" l="1"/>
  <c r="L36" i="2"/>
  <c r="Q36" i="2" s="1"/>
  <c r="J36" i="2"/>
  <c r="H36" i="2"/>
  <c r="Q35" i="2"/>
  <c r="J35" i="2"/>
  <c r="H35" i="2"/>
  <c r="J34" i="2"/>
  <c r="Q33" i="2"/>
  <c r="P33" i="2"/>
  <c r="J33" i="2"/>
  <c r="L32" i="2"/>
  <c r="Q32" i="2" s="1"/>
  <c r="J32" i="2"/>
  <c r="H32" i="2"/>
  <c r="P31" i="2"/>
  <c r="I31" i="2"/>
  <c r="I37" i="2" s="1"/>
  <c r="I16" i="2" s="1"/>
  <c r="Q30" i="2"/>
  <c r="P30" i="2"/>
  <c r="J30" i="2"/>
  <c r="Q29" i="2"/>
  <c r="P29" i="2"/>
  <c r="J29" i="2"/>
  <c r="Q28" i="2"/>
  <c r="P28" i="2"/>
  <c r="J28" i="2"/>
  <c r="H28" i="2"/>
  <c r="Q27" i="2"/>
  <c r="P27" i="2"/>
  <c r="J27" i="2"/>
  <c r="Q26" i="2"/>
  <c r="P26" i="2"/>
  <c r="J26" i="2"/>
  <c r="H26" i="2"/>
  <c r="Q25" i="2"/>
  <c r="P25" i="2"/>
  <c r="J25" i="2"/>
  <c r="H25" i="2"/>
  <c r="Q24" i="2"/>
  <c r="P24" i="2"/>
  <c r="J24" i="2"/>
  <c r="Q23" i="2"/>
  <c r="P23" i="2"/>
  <c r="J23" i="2"/>
  <c r="L22" i="2"/>
  <c r="Q22" i="2" s="1"/>
  <c r="J22" i="2"/>
  <c r="L21" i="2"/>
  <c r="P21" i="2" s="1"/>
  <c r="J21" i="2"/>
  <c r="L20" i="2"/>
  <c r="Q20" i="2" s="1"/>
  <c r="J20" i="2"/>
  <c r="L19" i="2"/>
  <c r="P19" i="2" s="1"/>
  <c r="J19" i="2"/>
  <c r="L18" i="2"/>
  <c r="Q18" i="2" s="1"/>
  <c r="J18" i="2"/>
  <c r="L17" i="2"/>
  <c r="P17" i="2" s="1"/>
  <c r="J17" i="2"/>
  <c r="K16" i="2"/>
  <c r="K39" i="5"/>
  <c r="J39" i="5"/>
  <c r="I39" i="5"/>
  <c r="H39" i="5"/>
  <c r="G39" i="5"/>
  <c r="F39" i="5"/>
  <c r="F12" i="5" s="1"/>
  <c r="E39" i="5"/>
  <c r="D39" i="5"/>
  <c r="C39" i="5"/>
  <c r="O36" i="5"/>
  <c r="P36" i="5" s="1"/>
  <c r="N36" i="5"/>
  <c r="F36" i="5"/>
  <c r="D36" i="5"/>
  <c r="G35" i="5"/>
  <c r="E35" i="5"/>
  <c r="C35" i="5"/>
  <c r="K34" i="5"/>
  <c r="E34" i="5"/>
  <c r="C34" i="5"/>
  <c r="C36" i="5" s="1"/>
  <c r="G33" i="5"/>
  <c r="E33" i="5"/>
  <c r="O31" i="5"/>
  <c r="O40" i="5" s="1"/>
  <c r="N31" i="5"/>
  <c r="F31" i="5"/>
  <c r="K30" i="5"/>
  <c r="E30" i="5"/>
  <c r="G29" i="5"/>
  <c r="K29" i="5" s="1"/>
  <c r="E29" i="5"/>
  <c r="C29" i="5"/>
  <c r="K28" i="5"/>
  <c r="E28" i="5"/>
  <c r="D28" i="5"/>
  <c r="D31" i="5" s="1"/>
  <c r="K27" i="5"/>
  <c r="E27" i="5"/>
  <c r="K26" i="5"/>
  <c r="E26" i="5"/>
  <c r="K25" i="5"/>
  <c r="E25" i="5"/>
  <c r="C25" i="5"/>
  <c r="K24" i="5"/>
  <c r="E24" i="5"/>
  <c r="K23" i="5"/>
  <c r="E23" i="5"/>
  <c r="C23" i="5"/>
  <c r="K22" i="5"/>
  <c r="E22" i="5"/>
  <c r="C22" i="5"/>
  <c r="K21" i="5"/>
  <c r="E21" i="5"/>
  <c r="K20" i="5"/>
  <c r="E20" i="5"/>
  <c r="G19" i="5"/>
  <c r="K19" i="5" s="1"/>
  <c r="E19" i="5"/>
  <c r="G18" i="5"/>
  <c r="K18" i="5" s="1"/>
  <c r="E18" i="5"/>
  <c r="G17" i="5"/>
  <c r="K17" i="5" s="1"/>
  <c r="E17" i="5"/>
  <c r="G16" i="5"/>
  <c r="K16" i="5" s="1"/>
  <c r="E16" i="5"/>
  <c r="G15" i="5"/>
  <c r="K15" i="5" s="1"/>
  <c r="E15" i="5"/>
  <c r="G14" i="5"/>
  <c r="G31" i="5" s="1"/>
  <c r="E14" i="5"/>
  <c r="D8" i="3"/>
  <c r="G8" i="3"/>
  <c r="L8" i="3"/>
  <c r="P8" i="3"/>
  <c r="D29" i="3"/>
  <c r="E29" i="3"/>
  <c r="E8" i="3" s="1"/>
  <c r="G29" i="3"/>
  <c r="H29" i="3"/>
  <c r="H8" i="3" s="1"/>
  <c r="I29" i="3"/>
  <c r="I8" i="3" s="1"/>
  <c r="J29" i="3"/>
  <c r="J8" i="3" s="1"/>
  <c r="K29" i="3"/>
  <c r="K8" i="3" s="1"/>
  <c r="L29" i="3"/>
  <c r="M29" i="3"/>
  <c r="M8" i="3" s="1"/>
  <c r="N29" i="3"/>
  <c r="N8" i="3" s="1"/>
  <c r="O29" i="3"/>
  <c r="O8" i="3" s="1"/>
  <c r="P29" i="3"/>
  <c r="Q29" i="3"/>
  <c r="Q8" i="3" s="1"/>
  <c r="R29" i="3"/>
  <c r="R8" i="3" s="1"/>
  <c r="D40" i="5" l="1"/>
  <c r="D12" i="5"/>
  <c r="P31" i="5"/>
  <c r="N40" i="5"/>
  <c r="E36" i="5"/>
  <c r="Q19" i="2"/>
  <c r="E31" i="5"/>
  <c r="E40" i="5" s="1"/>
  <c r="C31" i="5"/>
  <c r="F40" i="5"/>
  <c r="G36" i="5"/>
  <c r="H37" i="2"/>
  <c r="H16" i="2" s="1"/>
  <c r="J31" i="2"/>
  <c r="J37" i="2" s="1"/>
  <c r="J16" i="2" s="1"/>
  <c r="Q17" i="2"/>
  <c r="Q21" i="2"/>
  <c r="P18" i="2"/>
  <c r="P20" i="2"/>
  <c r="P22" i="2"/>
  <c r="P32" i="2"/>
  <c r="P36" i="2"/>
  <c r="Q31" i="2"/>
  <c r="E12" i="5"/>
  <c r="C40" i="5"/>
  <c r="C12" i="5"/>
  <c r="G40" i="5"/>
  <c r="G12" i="5"/>
  <c r="K14" i="5"/>
  <c r="K35" i="5"/>
  <c r="K33" i="5"/>
  <c r="K36" i="5" l="1"/>
  <c r="M37" i="2"/>
  <c r="M16" i="2" s="1"/>
  <c r="I36" i="5"/>
  <c r="J36" i="5"/>
  <c r="K31" i="5"/>
  <c r="H31" i="5"/>
  <c r="H36" i="5"/>
  <c r="O37" i="2" l="1"/>
  <c r="O16" i="2" s="1"/>
  <c r="N37" i="2"/>
  <c r="N16" i="2" s="1"/>
  <c r="K40" i="5"/>
  <c r="K12" i="5"/>
  <c r="I31" i="5"/>
  <c r="J31" i="5"/>
  <c r="H40" i="5"/>
  <c r="H12" i="5"/>
  <c r="I40" i="5" l="1"/>
  <c r="I12" i="5"/>
  <c r="J40" i="5"/>
  <c r="J12" i="5"/>
  <c r="F28" i="3"/>
  <c r="F26" i="3"/>
  <c r="F24" i="3"/>
  <c r="F14" i="3"/>
  <c r="F13" i="3"/>
  <c r="F12" i="3"/>
  <c r="F11" i="3"/>
  <c r="F10" i="3"/>
  <c r="F9" i="3"/>
  <c r="C28" i="3"/>
  <c r="C26" i="3"/>
  <c r="C24" i="3"/>
  <c r="C14" i="3"/>
  <c r="C13" i="3"/>
  <c r="C12" i="3"/>
  <c r="C11" i="3"/>
  <c r="C10" i="3"/>
  <c r="C9" i="3"/>
  <c r="C29" i="3" s="1"/>
  <c r="C8" i="3" s="1"/>
  <c r="F29" i="3" l="1"/>
  <c r="F8" i="3" s="1"/>
  <c r="L8" i="4"/>
  <c r="M8" i="4"/>
  <c r="H8" i="4"/>
  <c r="G8" i="4"/>
  <c r="F8" i="4"/>
  <c r="E8" i="4"/>
  <c r="D8" i="4"/>
  <c r="C8" i="4"/>
  <c r="B8" i="4"/>
  <c r="L37" i="2"/>
  <c r="L16" i="2" s="1"/>
  <c r="Q34" i="2"/>
  <c r="P34" i="2"/>
  <c r="P37" i="2" s="1"/>
  <c r="P16" i="2" s="1"/>
</calcChain>
</file>

<file path=xl/sharedStrings.xml><?xml version="1.0" encoding="utf-8"?>
<sst xmlns="http://schemas.openxmlformats.org/spreadsheetml/2006/main" count="289" uniqueCount="109">
  <si>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</si>
  <si>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</si>
  <si>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</si>
  <si>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</si>
  <si>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</si>
  <si>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</si>
  <si>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</si>
  <si>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</si>
  <si>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</si>
  <si>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</si>
  <si>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</si>
  <si>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</si>
  <si>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</si>
  <si>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</si>
  <si>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</si>
  <si>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</si>
  <si>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</si>
  <si>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</si>
  <si>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</si>
  <si>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</si>
  <si>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</si>
  <si>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</si>
  <si>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</si>
  <si>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</si>
  <si>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</si>
  <si>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</si>
  <si>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</si>
  <si>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</si>
  <si>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</si>
  <si>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дерево</t>
  </si>
  <si>
    <t>керамз. блоки</t>
  </si>
  <si>
    <t>шлакоблок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</si>
  <si>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2015 год с определением  видов и объемов финансирования работ по капитальному ремонту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</si>
  <si>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</si>
  <si>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На специальном счете, владельцем которого является региональный оператор</t>
  </si>
  <si>
    <t>Всего:</t>
  </si>
  <si>
    <t>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</t>
  </si>
  <si>
    <t>ИТОГО:</t>
  </si>
  <si>
    <t xml:space="preserve">и жилищной политики администрации города Твери                                                                                       </t>
  </si>
  <si>
    <t>Итого по муниципальному образованию городТверь</t>
  </si>
  <si>
    <t>бульвар Шмидта, дом 49, корпус 1</t>
  </si>
  <si>
    <t>улица Константина Заслонова, дом 1</t>
  </si>
  <si>
    <t>улица Евгения Пичугина, дом 46</t>
  </si>
  <si>
    <t>бульвар Шмидта,  дом 49 корпус 2</t>
  </si>
  <si>
    <t>проезд Зелёный, дом 43, корпус 11</t>
  </si>
  <si>
    <t>улица Можайского,  дом 61Б</t>
  </si>
  <si>
    <t>поселок Литвинки, дом 3</t>
  </si>
  <si>
    <t>улица Алексея Томского,  дом 14</t>
  </si>
  <si>
    <t>поселок Литвинки, дом 4</t>
  </si>
  <si>
    <t>поселок Литвинки,  дом 5</t>
  </si>
  <si>
    <t>поселок Литвинки, дом 2</t>
  </si>
  <si>
    <t>Петербургское шоссе,  дом 23</t>
  </si>
  <si>
    <t>улица Железнодорожников, дом 25, корпус 1</t>
  </si>
  <si>
    <t>улица Мусоргского, дом 24</t>
  </si>
  <si>
    <t>улица Богданова,  дом 10, корпус 2</t>
  </si>
  <si>
    <t>улица Учительская, дом 39</t>
  </si>
  <si>
    <t>улица Громова, дом 36, корпус 1</t>
  </si>
  <si>
    <t>бульвар Цанова, дом 29, корпус 1</t>
  </si>
  <si>
    <t>улица Карпинского,  дом 12/32</t>
  </si>
  <si>
    <t>улица Хромова,  дом 7, корпус 2</t>
  </si>
  <si>
    <t>Стоимость капитального ремонта ВСЕГО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</si>
  <si>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</si>
  <si>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</si>
  <si>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</si>
  <si>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</si>
  <si>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</si>
  <si>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</si>
  <si>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утепление  фасадов</t>
  </si>
  <si>
    <t>устройство выходов на кровлю</t>
  </si>
  <si>
    <t>установка коллективных (общедомовых) приборов учета и узлов управления</t>
  </si>
  <si>
    <t>другие виды</t>
  </si>
  <si>
    <t>ед.</t>
  </si>
  <si>
    <t>кв. м</t>
  </si>
  <si>
    <t>куб. м</t>
  </si>
  <si>
    <t xml:space="preserve">руб. </t>
  </si>
  <si>
    <t>Итого  по муниципальному образованию город Тверь:</t>
  </si>
  <si>
    <t>общая площадь многоквартирных домов (далее - МКД), всего</t>
  </si>
  <si>
    <t>Количество МКД</t>
  </si>
  <si>
    <t>I квартал</t>
  </si>
  <si>
    <t>II квартал</t>
  </si>
  <si>
    <t>III квартал</t>
  </si>
  <si>
    <t>IV квартал</t>
  </si>
  <si>
    <t>кв.м.</t>
  </si>
  <si>
    <t>Итого по муниципальному образованию город Тверь</t>
  </si>
  <si>
    <t>Количество жителей, зарегистрированных в МКД</t>
  </si>
  <si>
    <t>Расчетный счет</t>
  </si>
  <si>
    <t>Номер и дата протокола о принятии решения о выборе способа формирования Фонда капитального ремонта или номер и дата правового акта органа местного самоуправления</t>
  </si>
  <si>
    <t>Начисление взносов на капитальный ремонт на момент подачи заявки</t>
  </si>
  <si>
    <t>Оплачено взносов на капитальный ремонт</t>
  </si>
  <si>
    <t>Процент собираемости</t>
  </si>
  <si>
    <t>0</t>
  </si>
  <si>
    <t>Пост. № 638 от 27.05.2014</t>
  </si>
  <si>
    <t>Протокол б/н от 02.03.14</t>
  </si>
  <si>
    <t>Протокол 1/2014 от 26.02.14</t>
  </si>
  <si>
    <t>Протокол б/н от 01.04.14</t>
  </si>
  <si>
    <t>Протокол б/н от 14.03.14</t>
  </si>
  <si>
    <t>Виды, установленные нормативным правовым актом субъекта РФ</t>
  </si>
  <si>
    <t>Виды, установленные частью 1 статьи 166 Жилищного кодекса РФ</t>
  </si>
  <si>
    <t>Часть I. Перечень многоквартирных домов, которые подлежат капитальному ремонту</t>
  </si>
  <si>
    <t>Часть II. Реестр многоквартирных домов, которые подлежат капитальному ремонту по видам ремонта</t>
  </si>
  <si>
    <t>Часть III. Планируемые показатели выполнения работ по капитальному ремонту многоквартирных домов</t>
  </si>
  <si>
    <t>Часть IV. Перечень многоквартирных домов на территории муниципального образования город Тверь, которые включены в краткосрочный план по способу формирования фонда капитального реомнта общего имущества в многоквартирном доме и уровню собираемости взноса на капитальный ремонт в многоквартирном доме</t>
  </si>
  <si>
    <t>12.2016</t>
  </si>
  <si>
    <t xml:space="preserve">И.о. начальника департамента жилищно-коммунального хозяйства                                                                                       </t>
  </si>
  <si>
    <t>Т.И. Булыженкова</t>
  </si>
  <si>
    <t xml:space="preserve">Приложение к постановлению администрации города Твери </t>
  </si>
  <si>
    <t>«Приложение 2 к постановлению администрации города Твери</t>
  </si>
  <si>
    <t>от "10" октября 2014 № 1250</t>
  </si>
  <si>
    <t>от " 26 " ноября  2015 № 2097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</si>
</sst>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</cellStyleXfs>
  <cellXfs count="152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164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Alignment="1"/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43" fontId="3" fillId="0" borderId="1" xfId="8" applyFont="1" applyBorder="1"/>
    <xf numFmtId="43" fontId="3" fillId="0" borderId="1" xfId="8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 applyBorder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/>
    <xf numFmtId="0" fontId="0" fillId="0" borderId="0" xfId="0" applyAlignment="1"/>
    <xf numFmtId="0" fontId="9" fillId="0" borderId="0" xfId="0" applyFont="1" applyBorder="1" applyAlignment="1">
      <alignment horizontal="center" vertical="top" wrapText="1"/>
    </xf>
    <xf numFmtId="4" fontId="0" fillId="0" borderId="0" xfId="0" applyNumberFormat="1"/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1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43" fontId="6" fillId="0" borderId="1" xfId="8" applyFont="1" applyBorder="1" applyAlignment="1">
      <alignment horizontal="center"/>
    </xf>
    <xf numFmtId="43" fontId="3" fillId="0" borderId="1" xfId="8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1" fontId="3" fillId="0" borderId="1" xfId="8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0" fillId="0" borderId="0" xfId="0" applyAlignment="1"/>
    <xf numFmtId="0" fontId="0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16" fillId="0" borderId="0" xfId="0" applyFont="1" applyBorder="1"/>
    <xf numFmtId="0" fontId="5" fillId="0" borderId="0" xfId="0" applyFont="1" applyBorder="1" applyAlignment="1">
      <alignment horizontal="center" vertical="top" wrapText="1"/>
    </xf>
    <xf numFmtId="41" fontId="3" fillId="0" borderId="1" xfId="8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3" fillId="0" borderId="0" xfId="0" applyFont="1"/>
    <xf numFmtId="0" fontId="23" fillId="2" borderId="0" xfId="0" applyFont="1" applyFill="1"/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/>
    <xf numFmtId="0" fontId="6" fillId="0" borderId="1" xfId="0" applyNumberFormat="1" applyFont="1" applyBorder="1" applyAlignment="1">
      <alignment horizontal="center"/>
    </xf>
    <xf numFmtId="0" fontId="24" fillId="2" borderId="1" xfId="0" applyFont="1" applyFill="1" applyBorder="1"/>
    <xf numFmtId="0" fontId="6" fillId="2" borderId="1" xfId="0" applyNumberFormat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V46"/>
  <sheetViews>
    <sheetView tabSelected="1" view="pageBreakPreview" zoomScale="75" zoomScaleNormal="55" zoomScaleSheetLayoutView="100" workbookViewId="0">
      <selection activeCell="O4" sqref="O4"/>
    </sheetView>
  </sheetViews>
  <sheetFormatPr defaultRowHeight="15" x14ac:dyDescent="0.25"/>
  <cols>
    <col min="1" max="1" width="4.5703125" customWidth="1"/>
    <col min="2" max="2" width="38.42578125" customWidth="1"/>
    <col min="3" max="3" width="11.140625" customWidth="1"/>
    <col min="4" max="4" width="10.5703125" customWidth="1"/>
    <col min="5" max="5" width="12.140625" customWidth="1"/>
    <col min="6" max="7" width="9.28515625" customWidth="1"/>
    <col min="8" max="8" width="14.42578125" customWidth="1"/>
    <col min="9" max="9" width="14.85546875" customWidth="1"/>
    <col min="10" max="11" width="13" customWidth="1"/>
    <col min="12" max="12" width="16.140625" customWidth="1"/>
    <col min="13" max="13" width="15.140625" customWidth="1"/>
    <col min="14" max="14" width="15.7109375" customWidth="1"/>
    <col min="15" max="15" width="15.28515625" customWidth="1"/>
    <col min="16" max="16" width="15.42578125" customWidth="1"/>
    <col min="17" max="17" width="11.85546875" customWidth="1"/>
    <col min="18" max="18" width="12.7109375" customWidth="1"/>
    <col min="19" max="19" width="9.140625" customWidth="1"/>
  </cols>
  <sheetData>
    <row r="2" spans="1:21" x14ac:dyDescent="0.25">
      <c r="O2" s="120" t="s">
        <v>105</v>
      </c>
      <c r="P2" s="121"/>
      <c r="Q2" s="121"/>
      <c r="R2" s="121"/>
      <c r="S2" s="121"/>
    </row>
    <row r="3" spans="1:21" x14ac:dyDescent="0.25">
      <c r="J3" s="69"/>
      <c r="O3" s="120" t="s">
        <v>108</v>
      </c>
      <c r="P3" s="121"/>
      <c r="Q3" s="121"/>
      <c r="R3" s="121"/>
      <c r="S3" s="121"/>
    </row>
    <row r="5" spans="1:2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38"/>
      <c r="M5" s="38"/>
      <c r="N5" s="38"/>
      <c r="O5" s="120" t="s">
        <v>106</v>
      </c>
      <c r="P5" s="121"/>
      <c r="Q5" s="121"/>
      <c r="R5" s="121"/>
      <c r="S5" s="121"/>
    </row>
    <row r="6" spans="1:21" ht="15" customHeight="1" x14ac:dyDescent="0.3">
      <c r="A6" s="15"/>
      <c r="B6" s="15"/>
      <c r="C6" s="15"/>
      <c r="D6" s="15"/>
      <c r="E6" s="15"/>
      <c r="F6" s="15"/>
      <c r="G6" s="15"/>
      <c r="H6" s="15"/>
      <c r="I6" s="16"/>
      <c r="J6" s="16"/>
      <c r="K6" s="16"/>
      <c r="L6" s="39"/>
      <c r="M6" s="39"/>
      <c r="N6" s="39"/>
      <c r="O6" s="120" t="s">
        <v>107</v>
      </c>
      <c r="P6" s="121"/>
      <c r="Q6" s="121"/>
      <c r="R6" s="121"/>
      <c r="S6" s="121"/>
    </row>
    <row r="7" spans="1:21" ht="15" customHeight="1" x14ac:dyDescent="0.35">
      <c r="A7" s="15"/>
      <c r="B7" s="15"/>
      <c r="C7" s="15"/>
      <c r="D7" s="15"/>
      <c r="E7" s="15"/>
      <c r="F7" s="15"/>
      <c r="G7" s="15"/>
      <c r="H7" s="15"/>
      <c r="I7" s="16"/>
      <c r="J7" s="16"/>
      <c r="K7" s="16"/>
      <c r="L7" s="39"/>
      <c r="M7" s="39"/>
      <c r="N7" s="39"/>
      <c r="O7" s="97"/>
      <c r="P7" s="97"/>
      <c r="Q7" s="97"/>
      <c r="R7" s="97"/>
      <c r="S7" s="97"/>
    </row>
    <row r="8" spans="1:21" ht="35.25" customHeight="1" x14ac:dyDescent="0.3">
      <c r="A8" s="15"/>
      <c r="B8" s="15"/>
      <c r="C8" s="123" t="s">
        <v>32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97"/>
      <c r="R8" s="97"/>
      <c r="S8" s="97"/>
      <c r="T8" s="17"/>
      <c r="U8" s="17"/>
    </row>
    <row r="9" spans="1:21" ht="18" x14ac:dyDescent="0.35">
      <c r="A9" s="15"/>
      <c r="B9" s="100"/>
      <c r="C9" s="15"/>
      <c r="D9" s="15"/>
      <c r="E9" s="15"/>
      <c r="F9" s="15"/>
      <c r="G9" s="15"/>
      <c r="H9" s="15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</row>
    <row r="10" spans="1:21" ht="21" customHeight="1" x14ac:dyDescent="0.25">
      <c r="A10" s="101"/>
      <c r="B10" s="101"/>
      <c r="C10" s="125" t="s">
        <v>98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01"/>
      <c r="R10" s="101"/>
      <c r="S10" s="101"/>
    </row>
    <row r="11" spans="1:21" ht="24" customHeight="1" x14ac:dyDescent="0.25">
      <c r="A11" s="122" t="s">
        <v>0</v>
      </c>
      <c r="B11" s="122" t="s">
        <v>25</v>
      </c>
      <c r="C11" s="127" t="s">
        <v>1</v>
      </c>
      <c r="D11" s="127"/>
      <c r="E11" s="128" t="s">
        <v>2</v>
      </c>
      <c r="F11" s="128" t="s">
        <v>3</v>
      </c>
      <c r="G11" s="128" t="s">
        <v>4</v>
      </c>
      <c r="H11" s="119" t="s">
        <v>5</v>
      </c>
      <c r="I11" s="122" t="s">
        <v>6</v>
      </c>
      <c r="J11" s="122"/>
      <c r="K11" s="119" t="s">
        <v>7</v>
      </c>
      <c r="L11" s="122" t="s">
        <v>8</v>
      </c>
      <c r="M11" s="122"/>
      <c r="N11" s="122"/>
      <c r="O11" s="122"/>
      <c r="P11" s="122"/>
      <c r="Q11" s="119" t="s">
        <v>9</v>
      </c>
      <c r="R11" s="119" t="s">
        <v>10</v>
      </c>
      <c r="S11" s="119" t="s">
        <v>11</v>
      </c>
    </row>
    <row r="12" spans="1:21" ht="15" customHeight="1" x14ac:dyDescent="0.25">
      <c r="A12" s="122"/>
      <c r="B12" s="122"/>
      <c r="C12" s="119" t="s">
        <v>12</v>
      </c>
      <c r="D12" s="119" t="s">
        <v>13</v>
      </c>
      <c r="E12" s="128"/>
      <c r="F12" s="128"/>
      <c r="G12" s="128"/>
      <c r="H12" s="119"/>
      <c r="I12" s="119" t="s">
        <v>14</v>
      </c>
      <c r="J12" s="119" t="s">
        <v>15</v>
      </c>
      <c r="K12" s="119"/>
      <c r="L12" s="119" t="s">
        <v>14</v>
      </c>
      <c r="M12" s="122" t="s">
        <v>16</v>
      </c>
      <c r="N12" s="122"/>
      <c r="O12" s="122"/>
      <c r="P12" s="122"/>
      <c r="Q12" s="119"/>
      <c r="R12" s="119"/>
      <c r="S12" s="119"/>
    </row>
    <row r="13" spans="1:21" ht="128.25" customHeight="1" x14ac:dyDescent="0.25">
      <c r="A13" s="122"/>
      <c r="B13" s="122"/>
      <c r="C13" s="119"/>
      <c r="D13" s="119"/>
      <c r="E13" s="128"/>
      <c r="F13" s="128"/>
      <c r="G13" s="128"/>
      <c r="H13" s="119"/>
      <c r="I13" s="119"/>
      <c r="J13" s="119"/>
      <c r="K13" s="119"/>
      <c r="L13" s="119"/>
      <c r="M13" s="104" t="s">
        <v>24</v>
      </c>
      <c r="N13" s="104" t="s">
        <v>17</v>
      </c>
      <c r="O13" s="104" t="s">
        <v>18</v>
      </c>
      <c r="P13" s="104" t="s">
        <v>19</v>
      </c>
      <c r="Q13" s="119"/>
      <c r="R13" s="119"/>
      <c r="S13" s="119"/>
    </row>
    <row r="14" spans="1:21" x14ac:dyDescent="0.25">
      <c r="A14" s="122"/>
      <c r="B14" s="122"/>
      <c r="C14" s="119"/>
      <c r="D14" s="119"/>
      <c r="E14" s="128"/>
      <c r="F14" s="128"/>
      <c r="G14" s="128"/>
      <c r="H14" s="105" t="s">
        <v>20</v>
      </c>
      <c r="I14" s="105" t="s">
        <v>20</v>
      </c>
      <c r="J14" s="105" t="s">
        <v>20</v>
      </c>
      <c r="K14" s="105" t="s">
        <v>21</v>
      </c>
      <c r="L14" s="105" t="s">
        <v>22</v>
      </c>
      <c r="M14" s="105" t="s">
        <v>22</v>
      </c>
      <c r="N14" s="105" t="s">
        <v>22</v>
      </c>
      <c r="O14" s="105" t="s">
        <v>22</v>
      </c>
      <c r="P14" s="105" t="s">
        <v>22</v>
      </c>
      <c r="Q14" s="105" t="s">
        <v>23</v>
      </c>
      <c r="R14" s="105" t="s">
        <v>23</v>
      </c>
      <c r="S14" s="119"/>
    </row>
    <row r="15" spans="1:21" ht="14.45" x14ac:dyDescent="0.3">
      <c r="A15" s="106">
        <v>1</v>
      </c>
      <c r="B15" s="106">
        <v>2</v>
      </c>
      <c r="C15" s="106">
        <v>3</v>
      </c>
      <c r="D15" s="106">
        <v>4</v>
      </c>
      <c r="E15" s="106">
        <v>5</v>
      </c>
      <c r="F15" s="106">
        <v>6</v>
      </c>
      <c r="G15" s="106">
        <v>7</v>
      </c>
      <c r="H15" s="106">
        <v>8</v>
      </c>
      <c r="I15" s="106">
        <v>9</v>
      </c>
      <c r="J15" s="106">
        <v>10</v>
      </c>
      <c r="K15" s="106">
        <v>11</v>
      </c>
      <c r="L15" s="106">
        <v>12</v>
      </c>
      <c r="M15" s="106">
        <v>13</v>
      </c>
      <c r="N15" s="106">
        <v>14</v>
      </c>
      <c r="O15" s="106">
        <v>15</v>
      </c>
      <c r="P15" s="106">
        <v>16</v>
      </c>
      <c r="Q15" s="106">
        <v>17</v>
      </c>
      <c r="R15" s="106">
        <v>18</v>
      </c>
      <c r="S15" s="106">
        <v>19</v>
      </c>
    </row>
    <row r="16" spans="1:21" ht="30.75" customHeight="1" x14ac:dyDescent="0.25">
      <c r="A16" s="126" t="s">
        <v>39</v>
      </c>
      <c r="B16" s="126"/>
      <c r="C16" s="106" t="s">
        <v>28</v>
      </c>
      <c r="D16" s="106" t="s">
        <v>28</v>
      </c>
      <c r="E16" s="106" t="s">
        <v>28</v>
      </c>
      <c r="F16" s="106" t="s">
        <v>28</v>
      </c>
      <c r="G16" s="106" t="s">
        <v>28</v>
      </c>
      <c r="H16" s="22">
        <f>H37</f>
        <v>69574.100000000006</v>
      </c>
      <c r="I16" s="22">
        <f t="shared" ref="I16:O16" si="0">I37</f>
        <v>64586.200000000004</v>
      </c>
      <c r="J16" s="22">
        <f t="shared" si="0"/>
        <v>56723.299999999988</v>
      </c>
      <c r="K16" s="102">
        <f t="shared" si="0"/>
        <v>2788</v>
      </c>
      <c r="L16" s="22">
        <f t="shared" si="0"/>
        <v>51185701.680000007</v>
      </c>
      <c r="M16" s="22">
        <f t="shared" si="0"/>
        <v>8244736.8999999994</v>
      </c>
      <c r="N16" s="22">
        <f t="shared" si="0"/>
        <v>23724828.640000004</v>
      </c>
      <c r="O16" s="22">
        <f t="shared" si="0"/>
        <v>11538280.85</v>
      </c>
      <c r="P16" s="22">
        <f>P37</f>
        <v>7677855.290000001</v>
      </c>
      <c r="Q16" s="106" t="s">
        <v>28</v>
      </c>
      <c r="R16" s="106" t="s">
        <v>28</v>
      </c>
      <c r="S16" s="106" t="s">
        <v>28</v>
      </c>
    </row>
    <row r="17" spans="1:19" s="110" customFormat="1" x14ac:dyDescent="0.25">
      <c r="A17" s="3">
        <v>1</v>
      </c>
      <c r="B17" s="56" t="s">
        <v>40</v>
      </c>
      <c r="C17" s="3">
        <v>1982</v>
      </c>
      <c r="D17" s="2"/>
      <c r="E17" s="2" t="s">
        <v>26</v>
      </c>
      <c r="F17" s="2">
        <v>9</v>
      </c>
      <c r="G17" s="2">
        <v>6</v>
      </c>
      <c r="H17" s="9">
        <v>12728.2</v>
      </c>
      <c r="I17" s="2">
        <v>11595.8</v>
      </c>
      <c r="J17" s="2">
        <f>I17-1701.1</f>
        <v>9894.6999999999989</v>
      </c>
      <c r="K17" s="3">
        <v>490</v>
      </c>
      <c r="L17" s="37">
        <f>6*1600000</f>
        <v>9600000</v>
      </c>
      <c r="M17" s="112">
        <v>1546320</v>
      </c>
      <c r="N17" s="112">
        <v>4449648</v>
      </c>
      <c r="O17" s="112">
        <v>2164032</v>
      </c>
      <c r="P17" s="112">
        <f>ROUND((15%*L17/1),2)</f>
        <v>1440000</v>
      </c>
      <c r="Q17" s="37">
        <f t="shared" ref="Q17:Q36" si="1">L17/I17</f>
        <v>827.88595870918789</v>
      </c>
      <c r="R17" s="37">
        <v>6421</v>
      </c>
      <c r="S17" s="113" t="s">
        <v>102</v>
      </c>
    </row>
    <row r="18" spans="1:19" s="110" customFormat="1" x14ac:dyDescent="0.25">
      <c r="A18" s="3">
        <v>2</v>
      </c>
      <c r="B18" s="56" t="s">
        <v>41</v>
      </c>
      <c r="C18" s="3">
        <v>1983</v>
      </c>
      <c r="D18" s="2"/>
      <c r="E18" s="2" t="s">
        <v>27</v>
      </c>
      <c r="F18" s="2">
        <v>9</v>
      </c>
      <c r="G18" s="2">
        <v>2</v>
      </c>
      <c r="H18" s="9">
        <v>6546</v>
      </c>
      <c r="I18" s="2">
        <v>6285.7</v>
      </c>
      <c r="J18" s="2">
        <f>I18-605.3</f>
        <v>5680.4</v>
      </c>
      <c r="K18" s="3">
        <v>342</v>
      </c>
      <c r="L18" s="37">
        <f>2*1600000</f>
        <v>3200000</v>
      </c>
      <c r="M18" s="112">
        <v>515440</v>
      </c>
      <c r="N18" s="112">
        <v>1483216</v>
      </c>
      <c r="O18" s="112">
        <v>721344</v>
      </c>
      <c r="P18" s="112">
        <f t="shared" ref="P18:P36" si="2">ROUND((15%*L18/1),2)</f>
        <v>480000</v>
      </c>
      <c r="Q18" s="37">
        <f t="shared" si="1"/>
        <v>509.09206611833213</v>
      </c>
      <c r="R18" s="37">
        <v>6421</v>
      </c>
      <c r="S18" s="113" t="s">
        <v>102</v>
      </c>
    </row>
    <row r="19" spans="1:19" s="110" customFormat="1" x14ac:dyDescent="0.25">
      <c r="A19" s="3">
        <v>3</v>
      </c>
      <c r="B19" s="56" t="s">
        <v>42</v>
      </c>
      <c r="C19" s="3">
        <v>1990</v>
      </c>
      <c r="D19" s="2"/>
      <c r="E19" s="2" t="s">
        <v>26</v>
      </c>
      <c r="F19" s="2">
        <v>12</v>
      </c>
      <c r="G19" s="2">
        <v>1</v>
      </c>
      <c r="H19" s="9">
        <v>3776.8</v>
      </c>
      <c r="I19" s="2">
        <v>3612.4</v>
      </c>
      <c r="J19" s="2">
        <f>I19-113.1</f>
        <v>3499.3</v>
      </c>
      <c r="K19" s="3">
        <v>142</v>
      </c>
      <c r="L19" s="37">
        <f>2*1630000</f>
        <v>3260000</v>
      </c>
      <c r="M19" s="112">
        <v>525104.5</v>
      </c>
      <c r="N19" s="112">
        <v>1511026.3</v>
      </c>
      <c r="O19" s="112">
        <v>734869.2</v>
      </c>
      <c r="P19" s="112">
        <f t="shared" si="2"/>
        <v>489000</v>
      </c>
      <c r="Q19" s="37">
        <f t="shared" si="1"/>
        <v>902.44712656405716</v>
      </c>
      <c r="R19" s="37">
        <v>6421</v>
      </c>
      <c r="S19" s="113" t="s">
        <v>102</v>
      </c>
    </row>
    <row r="20" spans="1:19" s="110" customFormat="1" x14ac:dyDescent="0.25">
      <c r="A20" s="3">
        <v>4</v>
      </c>
      <c r="B20" s="56" t="s">
        <v>43</v>
      </c>
      <c r="C20" s="81">
        <v>1980</v>
      </c>
      <c r="D20" s="114"/>
      <c r="E20" s="81" t="s">
        <v>26</v>
      </c>
      <c r="F20" s="115">
        <v>9</v>
      </c>
      <c r="G20" s="115">
        <v>6</v>
      </c>
      <c r="H20" s="80">
        <v>12984.8</v>
      </c>
      <c r="I20" s="81">
        <v>11610</v>
      </c>
      <c r="J20" s="81">
        <f>I20-1380</f>
        <v>10230</v>
      </c>
      <c r="K20" s="81">
        <v>513</v>
      </c>
      <c r="L20" s="37">
        <f>6*1600000</f>
        <v>9600000</v>
      </c>
      <c r="M20" s="112">
        <v>1546320</v>
      </c>
      <c r="N20" s="112">
        <v>4449648</v>
      </c>
      <c r="O20" s="112">
        <v>2164032</v>
      </c>
      <c r="P20" s="112">
        <f t="shared" si="2"/>
        <v>1440000</v>
      </c>
      <c r="Q20" s="37">
        <f t="shared" si="1"/>
        <v>826.87338501291993</v>
      </c>
      <c r="R20" s="37">
        <v>6421</v>
      </c>
      <c r="S20" s="113" t="s">
        <v>102</v>
      </c>
    </row>
    <row r="21" spans="1:19" s="110" customFormat="1" x14ac:dyDescent="0.25">
      <c r="A21" s="3">
        <v>5</v>
      </c>
      <c r="B21" s="56" t="s">
        <v>44</v>
      </c>
      <c r="C21" s="81">
        <v>1981</v>
      </c>
      <c r="D21" s="114"/>
      <c r="E21" s="81" t="s">
        <v>26</v>
      </c>
      <c r="F21" s="115">
        <v>9</v>
      </c>
      <c r="G21" s="115">
        <v>1</v>
      </c>
      <c r="H21" s="80">
        <v>2164</v>
      </c>
      <c r="I21" s="81">
        <v>1939.9</v>
      </c>
      <c r="J21" s="81">
        <f>I21-480.8</f>
        <v>1459.1000000000001</v>
      </c>
      <c r="K21" s="81">
        <v>96</v>
      </c>
      <c r="L21" s="37">
        <f>1600000</f>
        <v>1600000</v>
      </c>
      <c r="M21" s="112">
        <v>257720</v>
      </c>
      <c r="N21" s="112">
        <v>741608</v>
      </c>
      <c r="O21" s="112">
        <v>360672</v>
      </c>
      <c r="P21" s="112">
        <f t="shared" si="2"/>
        <v>240000</v>
      </c>
      <c r="Q21" s="37">
        <f t="shared" si="1"/>
        <v>824.78478272075881</v>
      </c>
      <c r="R21" s="37">
        <v>6421</v>
      </c>
      <c r="S21" s="113" t="s">
        <v>102</v>
      </c>
    </row>
    <row r="22" spans="1:19" s="110" customFormat="1" x14ac:dyDescent="0.25">
      <c r="A22" s="3">
        <v>6</v>
      </c>
      <c r="B22" s="57" t="s">
        <v>45</v>
      </c>
      <c r="C22" s="81">
        <v>1976</v>
      </c>
      <c r="D22" s="114"/>
      <c r="E22" s="81" t="s">
        <v>26</v>
      </c>
      <c r="F22" s="115">
        <v>9</v>
      </c>
      <c r="G22" s="115">
        <v>2</v>
      </c>
      <c r="H22" s="80">
        <v>4328.5</v>
      </c>
      <c r="I22" s="81">
        <v>3866.2</v>
      </c>
      <c r="J22" s="81">
        <f>I22-574.2</f>
        <v>3292</v>
      </c>
      <c r="K22" s="81">
        <v>160</v>
      </c>
      <c r="L22" s="37">
        <f>2*1600000</f>
        <v>3200000</v>
      </c>
      <c r="M22" s="112">
        <v>515440</v>
      </c>
      <c r="N22" s="112">
        <v>1483216</v>
      </c>
      <c r="O22" s="112">
        <v>721344</v>
      </c>
      <c r="P22" s="112">
        <f t="shared" si="2"/>
        <v>480000</v>
      </c>
      <c r="Q22" s="37">
        <f t="shared" si="1"/>
        <v>827.68610004655739</v>
      </c>
      <c r="R22" s="37">
        <v>6421</v>
      </c>
      <c r="S22" s="113" t="s">
        <v>102</v>
      </c>
    </row>
    <row r="23" spans="1:19" s="111" customFormat="1" x14ac:dyDescent="0.25">
      <c r="A23" s="3">
        <v>7</v>
      </c>
      <c r="B23" s="56" t="s">
        <v>46</v>
      </c>
      <c r="C23" s="40">
        <v>1964</v>
      </c>
      <c r="D23" s="116"/>
      <c r="E23" s="40" t="s">
        <v>26</v>
      </c>
      <c r="F23" s="117">
        <v>2</v>
      </c>
      <c r="G23" s="117">
        <v>3</v>
      </c>
      <c r="H23" s="82">
        <v>746.3</v>
      </c>
      <c r="I23" s="40">
        <v>746.3</v>
      </c>
      <c r="J23" s="40">
        <f>I23-54</f>
        <v>692.3</v>
      </c>
      <c r="K23" s="40">
        <v>34</v>
      </c>
      <c r="L23" s="92">
        <v>631368.48</v>
      </c>
      <c r="M23" s="112">
        <v>101697.68</v>
      </c>
      <c r="N23" s="112">
        <v>292642.44</v>
      </c>
      <c r="O23" s="112">
        <v>142323.07999999999</v>
      </c>
      <c r="P23" s="112">
        <f>ROUND((15%*L23/1),2)+0.01</f>
        <v>94705.279999999999</v>
      </c>
      <c r="Q23" s="37">
        <f t="shared" si="1"/>
        <v>845.99823127428647</v>
      </c>
      <c r="R23" s="37">
        <v>6421</v>
      </c>
      <c r="S23" s="113" t="s">
        <v>102</v>
      </c>
    </row>
    <row r="24" spans="1:19" s="111" customFormat="1" x14ac:dyDescent="0.25">
      <c r="A24" s="3">
        <v>8</v>
      </c>
      <c r="B24" s="56" t="s">
        <v>47</v>
      </c>
      <c r="C24" s="40">
        <v>1959</v>
      </c>
      <c r="D24" s="116"/>
      <c r="E24" s="40" t="s">
        <v>27</v>
      </c>
      <c r="F24" s="117">
        <v>2</v>
      </c>
      <c r="G24" s="117">
        <v>1</v>
      </c>
      <c r="H24" s="82">
        <v>494.5</v>
      </c>
      <c r="I24" s="40">
        <v>447.2</v>
      </c>
      <c r="J24" s="40">
        <f>I24-45.5</f>
        <v>401.7</v>
      </c>
      <c r="K24" s="40">
        <v>22</v>
      </c>
      <c r="L24" s="92">
        <v>695327.98</v>
      </c>
      <c r="M24" s="112">
        <v>111999.95</v>
      </c>
      <c r="N24" s="112">
        <v>322288</v>
      </c>
      <c r="O24" s="112">
        <v>156740.82999999999</v>
      </c>
      <c r="P24" s="112">
        <f t="shared" si="2"/>
        <v>104299.2</v>
      </c>
      <c r="Q24" s="37">
        <f t="shared" si="1"/>
        <v>1554.8478980322004</v>
      </c>
      <c r="R24" s="37">
        <v>6421</v>
      </c>
      <c r="S24" s="113" t="s">
        <v>102</v>
      </c>
    </row>
    <row r="25" spans="1:19" s="111" customFormat="1" x14ac:dyDescent="0.25">
      <c r="A25" s="3">
        <v>9</v>
      </c>
      <c r="B25" s="56" t="s">
        <v>48</v>
      </c>
      <c r="C25" s="40">
        <v>1973</v>
      </c>
      <c r="D25" s="116"/>
      <c r="E25" s="40" t="s">
        <v>30</v>
      </c>
      <c r="F25" s="117">
        <v>2</v>
      </c>
      <c r="G25" s="117">
        <v>2</v>
      </c>
      <c r="H25" s="82">
        <f>537.2+50.5</f>
        <v>587.70000000000005</v>
      </c>
      <c r="I25" s="40">
        <v>537.20000000000005</v>
      </c>
      <c r="J25" s="40">
        <f>I25-114.5</f>
        <v>422.70000000000005</v>
      </c>
      <c r="K25" s="40">
        <v>36</v>
      </c>
      <c r="L25" s="92">
        <v>497510.21</v>
      </c>
      <c r="M25" s="112">
        <v>80136.460000000006</v>
      </c>
      <c r="N25" s="112">
        <v>230598.47</v>
      </c>
      <c r="O25" s="112">
        <v>112148.75</v>
      </c>
      <c r="P25" s="112">
        <f t="shared" si="2"/>
        <v>74626.53</v>
      </c>
      <c r="Q25" s="37">
        <f t="shared" si="1"/>
        <v>926.11729337304541</v>
      </c>
      <c r="R25" s="37">
        <v>6421</v>
      </c>
      <c r="S25" s="113" t="s">
        <v>102</v>
      </c>
    </row>
    <row r="26" spans="1:19" s="111" customFormat="1" x14ac:dyDescent="0.25">
      <c r="A26" s="3">
        <v>10</v>
      </c>
      <c r="B26" s="56" t="s">
        <v>49</v>
      </c>
      <c r="C26" s="40">
        <v>1973</v>
      </c>
      <c r="D26" s="116"/>
      <c r="E26" s="40" t="s">
        <v>30</v>
      </c>
      <c r="F26" s="117">
        <v>2</v>
      </c>
      <c r="G26" s="117">
        <v>2</v>
      </c>
      <c r="H26" s="82">
        <f>534+50.5</f>
        <v>584.5</v>
      </c>
      <c r="I26" s="40">
        <v>534</v>
      </c>
      <c r="J26" s="40">
        <f>I26-179.3</f>
        <v>354.7</v>
      </c>
      <c r="K26" s="40">
        <v>28</v>
      </c>
      <c r="L26" s="92">
        <v>497510.21</v>
      </c>
      <c r="M26" s="112">
        <v>80136.460000000006</v>
      </c>
      <c r="N26" s="112">
        <v>230598.47</v>
      </c>
      <c r="O26" s="112">
        <v>112148.75</v>
      </c>
      <c r="P26" s="112">
        <f t="shared" si="2"/>
        <v>74626.53</v>
      </c>
      <c r="Q26" s="37">
        <f t="shared" si="1"/>
        <v>931.66705992509367</v>
      </c>
      <c r="R26" s="37">
        <v>6421</v>
      </c>
      <c r="S26" s="113" t="s">
        <v>102</v>
      </c>
    </row>
    <row r="27" spans="1:19" s="111" customFormat="1" x14ac:dyDescent="0.25">
      <c r="A27" s="3">
        <v>11</v>
      </c>
      <c r="B27" s="56" t="s">
        <v>50</v>
      </c>
      <c r="C27" s="40">
        <v>1964</v>
      </c>
      <c r="D27" s="116"/>
      <c r="E27" s="40" t="s">
        <v>26</v>
      </c>
      <c r="F27" s="40">
        <v>2</v>
      </c>
      <c r="G27" s="40">
        <v>3</v>
      </c>
      <c r="H27" s="82">
        <v>756.3</v>
      </c>
      <c r="I27" s="40">
        <v>756.3</v>
      </c>
      <c r="J27" s="40">
        <f>756.3-269.3</f>
        <v>486.99999999999994</v>
      </c>
      <c r="K27" s="40">
        <v>37</v>
      </c>
      <c r="L27" s="92">
        <v>631368.48</v>
      </c>
      <c r="M27" s="112">
        <v>101697.68</v>
      </c>
      <c r="N27" s="112">
        <v>292642.44</v>
      </c>
      <c r="O27" s="112">
        <v>142323.07999999999</v>
      </c>
      <c r="P27" s="112">
        <f>ROUND((15%*L27/1),2)+0.01</f>
        <v>94705.279999999999</v>
      </c>
      <c r="Q27" s="37">
        <f t="shared" si="1"/>
        <v>834.81221737405792</v>
      </c>
      <c r="R27" s="37">
        <v>6421</v>
      </c>
      <c r="S27" s="113" t="s">
        <v>102</v>
      </c>
    </row>
    <row r="28" spans="1:19" s="111" customFormat="1" x14ac:dyDescent="0.25">
      <c r="A28" s="3">
        <v>12</v>
      </c>
      <c r="B28" s="56" t="s">
        <v>51</v>
      </c>
      <c r="C28" s="40">
        <v>1927</v>
      </c>
      <c r="D28" s="116"/>
      <c r="E28" s="40" t="s">
        <v>29</v>
      </c>
      <c r="F28" s="40">
        <v>2</v>
      </c>
      <c r="G28" s="40">
        <v>1</v>
      </c>
      <c r="H28" s="82">
        <f>324.9+25</f>
        <v>349.9</v>
      </c>
      <c r="I28" s="40">
        <v>324.89999999999998</v>
      </c>
      <c r="J28" s="40">
        <f>I28-62</f>
        <v>262.89999999999998</v>
      </c>
      <c r="K28" s="40">
        <v>13</v>
      </c>
      <c r="L28" s="92">
        <v>473134.68</v>
      </c>
      <c r="M28" s="112">
        <v>76210.17</v>
      </c>
      <c r="N28" s="112">
        <v>219300.29</v>
      </c>
      <c r="O28" s="112">
        <v>106654.02</v>
      </c>
      <c r="P28" s="112">
        <f t="shared" si="2"/>
        <v>70970.2</v>
      </c>
      <c r="Q28" s="37">
        <f t="shared" si="1"/>
        <v>1456.2470914127425</v>
      </c>
      <c r="R28" s="37">
        <v>6421</v>
      </c>
      <c r="S28" s="113" t="s">
        <v>102</v>
      </c>
    </row>
    <row r="29" spans="1:19" s="110" customFormat="1" ht="15" customHeight="1" x14ac:dyDescent="0.25">
      <c r="A29" s="3">
        <v>13</v>
      </c>
      <c r="B29" s="56" t="s">
        <v>52</v>
      </c>
      <c r="C29" s="81">
        <v>1963</v>
      </c>
      <c r="D29" s="114"/>
      <c r="E29" s="81" t="s">
        <v>27</v>
      </c>
      <c r="F29" s="81">
        <v>2</v>
      </c>
      <c r="G29" s="81">
        <v>2</v>
      </c>
      <c r="H29" s="80">
        <v>664.9</v>
      </c>
      <c r="I29" s="80">
        <v>647.4</v>
      </c>
      <c r="J29" s="80">
        <f>I29-300.7</f>
        <v>346.7</v>
      </c>
      <c r="K29" s="84">
        <v>41</v>
      </c>
      <c r="L29" s="92">
        <v>773230.15</v>
      </c>
      <c r="M29" s="112">
        <v>124548.05</v>
      </c>
      <c r="N29" s="112">
        <v>358396.04</v>
      </c>
      <c r="O29" s="112">
        <v>174301.54</v>
      </c>
      <c r="P29" s="112">
        <f t="shared" si="2"/>
        <v>115984.52</v>
      </c>
      <c r="Q29" s="37">
        <f t="shared" si="1"/>
        <v>1194.3622953351869</v>
      </c>
      <c r="R29" s="37">
        <v>6421</v>
      </c>
      <c r="S29" s="113" t="s">
        <v>102</v>
      </c>
    </row>
    <row r="30" spans="1:19" s="110" customFormat="1" x14ac:dyDescent="0.25">
      <c r="A30" s="3">
        <v>14</v>
      </c>
      <c r="B30" s="56" t="s">
        <v>53</v>
      </c>
      <c r="C30" s="81">
        <v>1954</v>
      </c>
      <c r="D30" s="114"/>
      <c r="E30" s="81" t="s">
        <v>27</v>
      </c>
      <c r="F30" s="81">
        <v>2</v>
      </c>
      <c r="G30" s="81">
        <v>2</v>
      </c>
      <c r="H30" s="80">
        <v>733.9</v>
      </c>
      <c r="I30" s="80">
        <v>718.1</v>
      </c>
      <c r="J30" s="80">
        <f>I30-192.4</f>
        <v>525.70000000000005</v>
      </c>
      <c r="K30" s="84">
        <v>24</v>
      </c>
      <c r="L30" s="92">
        <v>1202205.8400000001</v>
      </c>
      <c r="M30" s="112">
        <v>193645.3</v>
      </c>
      <c r="N30" s="112">
        <v>557228.42000000004</v>
      </c>
      <c r="O30" s="112">
        <v>271001.24</v>
      </c>
      <c r="P30" s="112">
        <f t="shared" si="2"/>
        <v>180330.88</v>
      </c>
      <c r="Q30" s="37">
        <f t="shared" si="1"/>
        <v>1674.1482244812701</v>
      </c>
      <c r="R30" s="37">
        <v>6421</v>
      </c>
      <c r="S30" s="113" t="s">
        <v>102</v>
      </c>
    </row>
    <row r="31" spans="1:19" s="110" customFormat="1" x14ac:dyDescent="0.25">
      <c r="A31" s="3">
        <v>15</v>
      </c>
      <c r="B31" s="56" t="s">
        <v>54</v>
      </c>
      <c r="C31" s="81">
        <v>1958</v>
      </c>
      <c r="D31" s="114"/>
      <c r="E31" s="81" t="s">
        <v>31</v>
      </c>
      <c r="F31" s="81">
        <v>3</v>
      </c>
      <c r="G31" s="81">
        <v>3</v>
      </c>
      <c r="H31" s="80">
        <v>1560.4</v>
      </c>
      <c r="I31" s="80">
        <f>1442+74.8</f>
        <v>1516.8</v>
      </c>
      <c r="J31" s="80">
        <f>I31-209.9</f>
        <v>1306.8999999999999</v>
      </c>
      <c r="K31" s="84">
        <v>59</v>
      </c>
      <c r="L31" s="92">
        <v>1430699.87</v>
      </c>
      <c r="M31" s="112">
        <v>230449.98</v>
      </c>
      <c r="N31" s="112">
        <v>663136.54</v>
      </c>
      <c r="O31" s="112">
        <v>322508.36</v>
      </c>
      <c r="P31" s="112">
        <f>ROUND((15%*L31/1),2)+0.01</f>
        <v>214604.99000000002</v>
      </c>
      <c r="Q31" s="37">
        <f t="shared" si="1"/>
        <v>943.23567378691996</v>
      </c>
      <c r="R31" s="37">
        <v>6421</v>
      </c>
      <c r="S31" s="113" t="s">
        <v>102</v>
      </c>
    </row>
    <row r="32" spans="1:19" s="110" customFormat="1" x14ac:dyDescent="0.25">
      <c r="A32" s="3">
        <v>16</v>
      </c>
      <c r="B32" s="58" t="s">
        <v>55</v>
      </c>
      <c r="C32" s="81">
        <v>1986</v>
      </c>
      <c r="D32" s="114"/>
      <c r="E32" s="81" t="s">
        <v>26</v>
      </c>
      <c r="F32" s="81">
        <v>9</v>
      </c>
      <c r="G32" s="81">
        <v>3</v>
      </c>
      <c r="H32" s="80">
        <f>9111.2+672.3</f>
        <v>9783.5</v>
      </c>
      <c r="I32" s="80">
        <v>9111.2000000000007</v>
      </c>
      <c r="J32" s="80">
        <f>I32-623.1</f>
        <v>8488.1</v>
      </c>
      <c r="K32" s="84">
        <v>308</v>
      </c>
      <c r="L32" s="92">
        <f>3*1600000</f>
        <v>4800000</v>
      </c>
      <c r="M32" s="112">
        <v>773160</v>
      </c>
      <c r="N32" s="112">
        <v>2224824</v>
      </c>
      <c r="O32" s="112">
        <v>1082016</v>
      </c>
      <c r="P32" s="112">
        <f t="shared" si="2"/>
        <v>720000</v>
      </c>
      <c r="Q32" s="37">
        <f t="shared" si="1"/>
        <v>526.82412854508732</v>
      </c>
      <c r="R32" s="37">
        <v>6421</v>
      </c>
      <c r="S32" s="113" t="s">
        <v>102</v>
      </c>
    </row>
    <row r="33" spans="1:22" s="110" customFormat="1" x14ac:dyDescent="0.25">
      <c r="A33" s="3">
        <v>17</v>
      </c>
      <c r="B33" s="56" t="s">
        <v>56</v>
      </c>
      <c r="C33" s="81">
        <v>1953</v>
      </c>
      <c r="D33" s="114"/>
      <c r="E33" s="81" t="s">
        <v>27</v>
      </c>
      <c r="F33" s="81">
        <v>3</v>
      </c>
      <c r="G33" s="81">
        <v>3</v>
      </c>
      <c r="H33" s="80">
        <v>2402.6999999999998</v>
      </c>
      <c r="I33" s="80">
        <v>2194.1999999999998</v>
      </c>
      <c r="J33" s="80">
        <f>I33-538.7</f>
        <v>1655.4999999999998</v>
      </c>
      <c r="K33" s="84">
        <v>124</v>
      </c>
      <c r="L33" s="92">
        <v>2124055.86</v>
      </c>
      <c r="M33" s="112">
        <v>342132.3</v>
      </c>
      <c r="N33" s="112">
        <v>984510.51</v>
      </c>
      <c r="O33" s="112">
        <v>478804.67</v>
      </c>
      <c r="P33" s="112">
        <f t="shared" si="2"/>
        <v>318608.38</v>
      </c>
      <c r="Q33" s="37">
        <f t="shared" si="1"/>
        <v>968.03202078206186</v>
      </c>
      <c r="R33" s="37">
        <v>6421</v>
      </c>
      <c r="S33" s="113" t="s">
        <v>102</v>
      </c>
    </row>
    <row r="34" spans="1:22" s="110" customFormat="1" x14ac:dyDescent="0.25">
      <c r="A34" s="3">
        <v>18</v>
      </c>
      <c r="B34" s="56" t="s">
        <v>57</v>
      </c>
      <c r="C34" s="81">
        <v>1988</v>
      </c>
      <c r="D34" s="114"/>
      <c r="E34" s="81" t="s">
        <v>26</v>
      </c>
      <c r="F34" s="81">
        <v>9</v>
      </c>
      <c r="G34" s="81">
        <v>1</v>
      </c>
      <c r="H34" s="80">
        <v>1943.5</v>
      </c>
      <c r="I34" s="80">
        <v>1913.3</v>
      </c>
      <c r="J34" s="80">
        <f>I34-117.4</f>
        <v>1795.8999999999999</v>
      </c>
      <c r="K34" s="84">
        <v>97</v>
      </c>
      <c r="L34" s="92">
        <v>1600000</v>
      </c>
      <c r="M34" s="112">
        <v>257720</v>
      </c>
      <c r="N34" s="112">
        <v>741608</v>
      </c>
      <c r="O34" s="112">
        <v>360672</v>
      </c>
      <c r="P34" s="112">
        <f t="shared" si="2"/>
        <v>240000</v>
      </c>
      <c r="Q34" s="37">
        <f t="shared" si="1"/>
        <v>836.25150263941885</v>
      </c>
      <c r="R34" s="37">
        <v>6421</v>
      </c>
      <c r="S34" s="113" t="s">
        <v>102</v>
      </c>
    </row>
    <row r="35" spans="1:22" s="110" customFormat="1" x14ac:dyDescent="0.25">
      <c r="A35" s="3">
        <v>19</v>
      </c>
      <c r="B35" s="58" t="s">
        <v>58</v>
      </c>
      <c r="C35" s="81">
        <v>1957</v>
      </c>
      <c r="D35" s="114"/>
      <c r="E35" s="81" t="s">
        <v>27</v>
      </c>
      <c r="F35" s="81">
        <v>3</v>
      </c>
      <c r="G35" s="81">
        <v>3</v>
      </c>
      <c r="H35" s="80">
        <f>2345.2+44</f>
        <v>2389.1999999999998</v>
      </c>
      <c r="I35" s="80">
        <v>2345.1999999999998</v>
      </c>
      <c r="J35" s="80">
        <f>I35-0</f>
        <v>2345.1999999999998</v>
      </c>
      <c r="K35" s="84">
        <v>50</v>
      </c>
      <c r="L35" s="92">
        <v>2109289.92</v>
      </c>
      <c r="M35" s="112">
        <v>339753.87</v>
      </c>
      <c r="N35" s="112">
        <v>977666.42</v>
      </c>
      <c r="O35" s="112">
        <v>475476.13</v>
      </c>
      <c r="P35" s="112">
        <v>316393.5</v>
      </c>
      <c r="Q35" s="37">
        <f t="shared" si="1"/>
        <v>899.40726590482689</v>
      </c>
      <c r="R35" s="37">
        <v>6421</v>
      </c>
      <c r="S35" s="113" t="s">
        <v>102</v>
      </c>
    </row>
    <row r="36" spans="1:22" s="110" customFormat="1" x14ac:dyDescent="0.25">
      <c r="A36" s="3">
        <v>20</v>
      </c>
      <c r="B36" s="58" t="s">
        <v>59</v>
      </c>
      <c r="C36" s="81">
        <v>1983</v>
      </c>
      <c r="D36" s="114"/>
      <c r="E36" s="81" t="s">
        <v>27</v>
      </c>
      <c r="F36" s="81">
        <v>12</v>
      </c>
      <c r="G36" s="81">
        <v>1</v>
      </c>
      <c r="H36" s="80">
        <f>3884.1+164.4</f>
        <v>4048.5</v>
      </c>
      <c r="I36" s="80">
        <v>3884.1</v>
      </c>
      <c r="J36" s="80">
        <f>I36-301.6</f>
        <v>3582.5</v>
      </c>
      <c r="K36" s="84">
        <v>172</v>
      </c>
      <c r="L36" s="37">
        <f>2*1630000</f>
        <v>3260000</v>
      </c>
      <c r="M36" s="112">
        <v>525104.5</v>
      </c>
      <c r="N36" s="112">
        <v>1511026.3</v>
      </c>
      <c r="O36" s="112">
        <v>734869.2</v>
      </c>
      <c r="P36" s="112">
        <f t="shared" si="2"/>
        <v>489000</v>
      </c>
      <c r="Q36" s="37">
        <f t="shared" si="1"/>
        <v>839.31927602275948</v>
      </c>
      <c r="R36" s="37">
        <v>6421</v>
      </c>
      <c r="S36" s="113" t="s">
        <v>102</v>
      </c>
    </row>
    <row r="37" spans="1:22" x14ac:dyDescent="0.25">
      <c r="A37" s="7"/>
      <c r="B37" s="54" t="s">
        <v>35</v>
      </c>
      <c r="C37" s="7"/>
      <c r="D37" s="7"/>
      <c r="E37" s="7"/>
      <c r="F37" s="8"/>
      <c r="G37" s="8"/>
      <c r="H37" s="85">
        <f>SUM(H17:H36)</f>
        <v>69574.100000000006</v>
      </c>
      <c r="I37" s="85">
        <f t="shared" ref="I37:P37" si="3">SUM(I17:I36)</f>
        <v>64586.200000000004</v>
      </c>
      <c r="J37" s="85">
        <f t="shared" si="3"/>
        <v>56723.299999999988</v>
      </c>
      <c r="K37" s="13">
        <f t="shared" si="3"/>
        <v>2788</v>
      </c>
      <c r="L37" s="24">
        <f t="shared" si="3"/>
        <v>51185701.680000007</v>
      </c>
      <c r="M37" s="24">
        <f t="shared" si="3"/>
        <v>8244736.8999999994</v>
      </c>
      <c r="N37" s="24">
        <f t="shared" si="3"/>
        <v>23724828.640000004</v>
      </c>
      <c r="O37" s="24">
        <f t="shared" si="3"/>
        <v>11538280.85</v>
      </c>
      <c r="P37" s="24">
        <f t="shared" si="3"/>
        <v>7677855.290000001</v>
      </c>
      <c r="Q37" s="1" t="s">
        <v>28</v>
      </c>
      <c r="R37" s="105" t="s">
        <v>28</v>
      </c>
      <c r="S37" s="14" t="s">
        <v>28</v>
      </c>
    </row>
    <row r="38" spans="1:22" ht="15" customHeight="1" x14ac:dyDescent="0.3">
      <c r="S38" s="27"/>
    </row>
    <row r="39" spans="1:22" ht="15" customHeight="1" x14ac:dyDescent="0.4">
      <c r="A39" s="18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19"/>
      <c r="R39" s="19"/>
      <c r="S39" s="19"/>
      <c r="T39" s="19"/>
      <c r="U39" s="19"/>
      <c r="V39" s="19"/>
    </row>
    <row r="40" spans="1:22" ht="15" customHeight="1" x14ac:dyDescent="0.35">
      <c r="A40" s="18"/>
      <c r="B40" s="30" t="s">
        <v>103</v>
      </c>
      <c r="C40" s="30"/>
      <c r="D40" s="31"/>
      <c r="E40" s="31"/>
      <c r="F40" s="31"/>
      <c r="G40" s="31"/>
      <c r="H40" s="31"/>
      <c r="I40" s="31"/>
      <c r="J40" s="31"/>
      <c r="K40" s="31"/>
      <c r="L40" s="32"/>
      <c r="M40" s="33"/>
      <c r="N40" s="32"/>
      <c r="O40" s="118"/>
      <c r="P40" s="34"/>
      <c r="Q40" s="20"/>
      <c r="R40" s="21"/>
      <c r="S40" s="20"/>
      <c r="T40" s="21"/>
      <c r="U40" s="20"/>
      <c r="V40" s="20"/>
    </row>
    <row r="41" spans="1:22" ht="15" customHeight="1" x14ac:dyDescent="0.35">
      <c r="A41" s="18"/>
      <c r="B41" s="28" t="s">
        <v>38</v>
      </c>
      <c r="C41" s="29"/>
      <c r="D41" s="29"/>
      <c r="E41" s="29"/>
      <c r="F41" s="29"/>
      <c r="G41" s="29"/>
      <c r="H41" s="29"/>
      <c r="I41" s="29" t="s">
        <v>104</v>
      </c>
      <c r="J41" s="29"/>
      <c r="K41" s="29"/>
      <c r="L41" s="29"/>
      <c r="M41" s="29"/>
      <c r="O41" s="29"/>
      <c r="P41" s="29"/>
      <c r="Q41" s="19"/>
      <c r="R41" s="19"/>
      <c r="S41" s="19"/>
      <c r="T41" s="19"/>
      <c r="U41" s="19"/>
      <c r="V41" s="19"/>
    </row>
    <row r="42" spans="1:22" ht="15" customHeight="1" x14ac:dyDescent="0.4">
      <c r="A42" s="18"/>
      <c r="B42" s="30"/>
      <c r="C42" s="30"/>
      <c r="D42" s="31"/>
      <c r="E42" s="31"/>
      <c r="F42" s="31"/>
      <c r="G42" s="31"/>
      <c r="H42" s="31"/>
      <c r="I42" s="31"/>
      <c r="J42" s="31"/>
      <c r="K42" s="31"/>
      <c r="L42" s="32"/>
      <c r="M42" s="33"/>
      <c r="N42" s="32"/>
      <c r="O42" s="33"/>
      <c r="P42" s="34"/>
      <c r="Q42" s="20"/>
      <c r="R42" s="21"/>
      <c r="S42" s="20"/>
      <c r="T42" s="21"/>
      <c r="U42" s="20"/>
      <c r="V42" s="20"/>
    </row>
    <row r="43" spans="1:22" ht="15" customHeight="1" x14ac:dyDescent="0.3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1:22" ht="1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22" ht="1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1:22" ht="1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</sheetData>
  <mergeCells count="26">
    <mergeCell ref="A16:B16"/>
    <mergeCell ref="C12:C14"/>
    <mergeCell ref="D12:D14"/>
    <mergeCell ref="I12:I13"/>
    <mergeCell ref="J12:J13"/>
    <mergeCell ref="A11:A14"/>
    <mergeCell ref="B11:B14"/>
    <mergeCell ref="C11:D11"/>
    <mergeCell ref="E11:E14"/>
    <mergeCell ref="F11:F14"/>
    <mergeCell ref="G11:G14"/>
    <mergeCell ref="H11:H13"/>
    <mergeCell ref="I11:J11"/>
    <mergeCell ref="K11:K13"/>
    <mergeCell ref="O2:S2"/>
    <mergeCell ref="O3:S3"/>
    <mergeCell ref="L11:P11"/>
    <mergeCell ref="Q11:Q13"/>
    <mergeCell ref="R11:R13"/>
    <mergeCell ref="O5:S5"/>
    <mergeCell ref="O6:S6"/>
    <mergeCell ref="C8:P8"/>
    <mergeCell ref="C10:P10"/>
    <mergeCell ref="L12:L13"/>
    <mergeCell ref="M12:P12"/>
    <mergeCell ref="S11:S14"/>
  </mergeCells>
  <pageMargins left="0.31496062992125984" right="0.27559055118110237" top="0.47244094488188981" bottom="0.70866141732283472" header="0.31496062992125984" footer="0.31496062992125984"/>
  <pageSetup paperSize="9" scale="53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75" zoomScaleNormal="75" workbookViewId="0">
      <selection activeCell="I38" sqref="I38"/>
    </sheetView>
  </sheetViews>
  <sheetFormatPr defaultRowHeight="15" x14ac:dyDescent="0.25"/>
  <cols>
    <col min="1" max="1" width="4.5703125" customWidth="1"/>
    <col min="2" max="2" width="38.42578125" customWidth="1"/>
    <col min="3" max="3" width="13.28515625" customWidth="1"/>
    <col min="4" max="4" width="14" customWidth="1"/>
    <col min="5" max="5" width="7.42578125" customWidth="1"/>
    <col min="6" max="6" width="14" customWidth="1"/>
    <col min="7" max="7" width="8.5703125" customWidth="1"/>
    <col min="8" max="8" width="13.7109375" customWidth="1"/>
    <col min="16" max="16" width="9.85546875" customWidth="1"/>
    <col min="17" max="17" width="12.7109375" customWidth="1"/>
  </cols>
  <sheetData>
    <row r="1" spans="1:24" ht="14.45" x14ac:dyDescent="0.3">
      <c r="M1" s="129"/>
      <c r="N1" s="129"/>
      <c r="O1" s="129"/>
      <c r="P1" s="129"/>
      <c r="Q1" s="129"/>
      <c r="R1" s="129"/>
    </row>
    <row r="2" spans="1:24" ht="24" customHeight="1" x14ac:dyDescent="0.25">
      <c r="A2" s="62"/>
      <c r="B2" s="100"/>
      <c r="C2" s="132" t="s">
        <v>99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62"/>
      <c r="P2" s="62"/>
      <c r="Q2" s="62"/>
      <c r="R2" s="62"/>
      <c r="S2" s="62"/>
      <c r="T2" s="62"/>
      <c r="U2" s="62"/>
    </row>
    <row r="3" spans="1:24" ht="28.5" hidden="1" customHeigh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63"/>
      <c r="T3" s="63"/>
      <c r="U3" s="63"/>
      <c r="V3" s="41"/>
      <c r="W3" s="41"/>
      <c r="X3" s="41"/>
    </row>
    <row r="4" spans="1:24" ht="29.25" customHeight="1" x14ac:dyDescent="0.25">
      <c r="A4" s="130" t="s">
        <v>0</v>
      </c>
      <c r="B4" s="130" t="s">
        <v>25</v>
      </c>
      <c r="C4" s="130" t="s">
        <v>60</v>
      </c>
      <c r="D4" s="134" t="s">
        <v>97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 t="s">
        <v>96</v>
      </c>
      <c r="P4" s="135"/>
      <c r="Q4" s="135"/>
      <c r="R4" s="135"/>
      <c r="S4" s="42"/>
      <c r="T4" s="41"/>
      <c r="U4" s="41"/>
      <c r="V4" s="41"/>
      <c r="W4" s="41"/>
      <c r="X4" s="41"/>
    </row>
    <row r="5" spans="1:24" ht="89.25" x14ac:dyDescent="0.25">
      <c r="A5" s="130"/>
      <c r="B5" s="130"/>
      <c r="C5" s="130"/>
      <c r="D5" s="43" t="s">
        <v>61</v>
      </c>
      <c r="E5" s="130" t="s">
        <v>62</v>
      </c>
      <c r="F5" s="130"/>
      <c r="G5" s="130" t="s">
        <v>63</v>
      </c>
      <c r="H5" s="130"/>
      <c r="I5" s="136" t="s">
        <v>64</v>
      </c>
      <c r="J5" s="136"/>
      <c r="K5" s="130" t="s">
        <v>65</v>
      </c>
      <c r="L5" s="130"/>
      <c r="M5" s="130" t="s">
        <v>66</v>
      </c>
      <c r="N5" s="130"/>
      <c r="O5" s="43" t="s">
        <v>67</v>
      </c>
      <c r="P5" s="43" t="s">
        <v>68</v>
      </c>
      <c r="Q5" s="43" t="s">
        <v>69</v>
      </c>
      <c r="R5" s="43" t="s">
        <v>70</v>
      </c>
      <c r="S5" s="42"/>
      <c r="T5" s="41"/>
      <c r="U5" s="41"/>
      <c r="V5" s="41"/>
      <c r="W5" s="41"/>
      <c r="X5" s="41"/>
    </row>
    <row r="6" spans="1:24" x14ac:dyDescent="0.25">
      <c r="A6" s="130"/>
      <c r="B6" s="130"/>
      <c r="C6" s="43" t="s">
        <v>22</v>
      </c>
      <c r="D6" s="43" t="s">
        <v>22</v>
      </c>
      <c r="E6" s="43" t="s">
        <v>71</v>
      </c>
      <c r="F6" s="43" t="s">
        <v>22</v>
      </c>
      <c r="G6" s="43" t="s">
        <v>72</v>
      </c>
      <c r="H6" s="43" t="s">
        <v>22</v>
      </c>
      <c r="I6" s="44" t="s">
        <v>72</v>
      </c>
      <c r="J6" s="44" t="s">
        <v>22</v>
      </c>
      <c r="K6" s="43" t="s">
        <v>72</v>
      </c>
      <c r="L6" s="43" t="s">
        <v>22</v>
      </c>
      <c r="M6" s="43" t="s">
        <v>73</v>
      </c>
      <c r="N6" s="43" t="s">
        <v>22</v>
      </c>
      <c r="O6" s="43" t="s">
        <v>22</v>
      </c>
      <c r="P6" s="43" t="s">
        <v>74</v>
      </c>
      <c r="Q6" s="43" t="s">
        <v>22</v>
      </c>
      <c r="R6" s="43" t="s">
        <v>22</v>
      </c>
      <c r="S6" s="42"/>
      <c r="T6" s="41"/>
      <c r="U6" s="41"/>
      <c r="V6" s="41"/>
      <c r="W6" s="41"/>
      <c r="X6" s="41"/>
    </row>
    <row r="7" spans="1:24" ht="14.45" x14ac:dyDescent="0.3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6">
        <v>9</v>
      </c>
      <c r="J7" s="46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>
        <v>18</v>
      </c>
      <c r="S7" s="42"/>
      <c r="T7" s="41"/>
      <c r="U7" s="41"/>
      <c r="V7" s="41"/>
      <c r="W7" s="41"/>
      <c r="X7" s="41"/>
    </row>
    <row r="8" spans="1:24" ht="30.75" customHeight="1" x14ac:dyDescent="0.25">
      <c r="A8" s="131" t="s">
        <v>75</v>
      </c>
      <c r="B8" s="131"/>
      <c r="C8" s="47">
        <f>C29</f>
        <v>51185701.680000007</v>
      </c>
      <c r="D8" s="47">
        <f t="shared" ref="D8:R8" si="0">D29</f>
        <v>0</v>
      </c>
      <c r="E8" s="47">
        <f t="shared" si="0"/>
        <v>25</v>
      </c>
      <c r="F8" s="47">
        <f t="shared" si="0"/>
        <v>40120000</v>
      </c>
      <c r="G8" s="95">
        <f t="shared" si="0"/>
        <v>7022</v>
      </c>
      <c r="H8" s="47">
        <f t="shared" si="0"/>
        <v>11065701.68</v>
      </c>
      <c r="I8" s="47">
        <f t="shared" si="0"/>
        <v>0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47">
        <f t="shared" si="0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60"/>
      <c r="T8" s="41"/>
      <c r="U8" s="41"/>
      <c r="V8" s="41"/>
      <c r="W8" s="41"/>
      <c r="X8" s="41"/>
    </row>
    <row r="9" spans="1:24" ht="15" customHeight="1" x14ac:dyDescent="0.25">
      <c r="A9" s="108">
        <v>1</v>
      </c>
      <c r="B9" s="56" t="s">
        <v>40</v>
      </c>
      <c r="C9" s="37">
        <f>6*1600000</f>
        <v>9600000</v>
      </c>
      <c r="D9" s="48">
        <v>0</v>
      </c>
      <c r="E9" s="6">
        <v>6</v>
      </c>
      <c r="F9" s="37">
        <f>6*1600000</f>
        <v>9600000</v>
      </c>
      <c r="G9" s="6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61"/>
      <c r="T9" s="41"/>
      <c r="U9" s="41"/>
      <c r="V9" s="41"/>
      <c r="W9" s="41"/>
      <c r="X9" s="41"/>
    </row>
    <row r="10" spans="1:24" ht="15" customHeight="1" x14ac:dyDescent="0.25">
      <c r="A10" s="109">
        <v>2</v>
      </c>
      <c r="B10" s="56" t="s">
        <v>41</v>
      </c>
      <c r="C10" s="37">
        <f>2*1600000</f>
        <v>3200000</v>
      </c>
      <c r="D10" s="48">
        <v>0</v>
      </c>
      <c r="E10" s="6">
        <v>2</v>
      </c>
      <c r="F10" s="37">
        <f>2*1600000</f>
        <v>3200000</v>
      </c>
      <c r="G10" s="6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61"/>
      <c r="T10" s="41"/>
      <c r="U10" s="41"/>
      <c r="V10" s="41"/>
      <c r="W10" s="41"/>
      <c r="X10" s="41"/>
    </row>
    <row r="11" spans="1:24" ht="15" customHeight="1" x14ac:dyDescent="0.25">
      <c r="A11" s="105">
        <v>3</v>
      </c>
      <c r="B11" s="56" t="s">
        <v>42</v>
      </c>
      <c r="C11" s="37">
        <f>2*1630000</f>
        <v>3260000</v>
      </c>
      <c r="D11" s="48">
        <v>0</v>
      </c>
      <c r="E11" s="6">
        <v>2</v>
      </c>
      <c r="F11" s="37">
        <f>2*1630000</f>
        <v>3260000</v>
      </c>
      <c r="G11" s="6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61"/>
      <c r="T11" s="41"/>
      <c r="U11" s="41"/>
      <c r="V11" s="41"/>
      <c r="W11" s="41"/>
      <c r="X11" s="41"/>
    </row>
    <row r="12" spans="1:24" ht="15" customHeight="1" x14ac:dyDescent="0.25">
      <c r="A12" s="105">
        <v>4</v>
      </c>
      <c r="B12" s="56" t="s">
        <v>43</v>
      </c>
      <c r="C12" s="37">
        <f>6*1600000</f>
        <v>9600000</v>
      </c>
      <c r="D12" s="48">
        <v>0</v>
      </c>
      <c r="E12" s="6">
        <v>6</v>
      </c>
      <c r="F12" s="37">
        <f>6*1600000</f>
        <v>9600000</v>
      </c>
      <c r="G12" s="49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1"/>
      <c r="T12" s="41"/>
      <c r="U12" s="41"/>
      <c r="V12" s="41"/>
      <c r="W12" s="41"/>
      <c r="X12" s="41"/>
    </row>
    <row r="13" spans="1:24" ht="15" customHeight="1" x14ac:dyDescent="0.25">
      <c r="A13" s="105">
        <v>5</v>
      </c>
      <c r="B13" s="56" t="s">
        <v>44</v>
      </c>
      <c r="C13" s="37">
        <f>1600000</f>
        <v>1600000</v>
      </c>
      <c r="D13" s="48">
        <v>0</v>
      </c>
      <c r="E13" s="6">
        <v>1</v>
      </c>
      <c r="F13" s="37">
        <f>1600000</f>
        <v>1600000</v>
      </c>
      <c r="G13" s="49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1"/>
      <c r="T13" s="41"/>
      <c r="U13" s="41"/>
      <c r="V13" s="41"/>
      <c r="W13" s="41"/>
      <c r="X13" s="41"/>
    </row>
    <row r="14" spans="1:24" ht="15" customHeight="1" x14ac:dyDescent="0.25">
      <c r="A14" s="105">
        <v>6</v>
      </c>
      <c r="B14" s="57" t="s">
        <v>45</v>
      </c>
      <c r="C14" s="37">
        <f>2*1600000</f>
        <v>3200000</v>
      </c>
      <c r="D14" s="48">
        <v>0</v>
      </c>
      <c r="E14" s="6">
        <v>2</v>
      </c>
      <c r="F14" s="37">
        <f>2*1600000</f>
        <v>3200000</v>
      </c>
      <c r="G14" s="49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1"/>
      <c r="T14" s="41"/>
      <c r="U14" s="41"/>
      <c r="V14" s="41"/>
      <c r="W14" s="41"/>
      <c r="X14" s="41"/>
    </row>
    <row r="15" spans="1:24" ht="15" customHeight="1" x14ac:dyDescent="0.25">
      <c r="A15" s="108">
        <v>7</v>
      </c>
      <c r="B15" s="56" t="s">
        <v>46</v>
      </c>
      <c r="C15" s="37">
        <v>631368.48</v>
      </c>
      <c r="D15" s="48">
        <v>0</v>
      </c>
      <c r="E15" s="6">
        <v>0</v>
      </c>
      <c r="F15" s="94">
        <v>0</v>
      </c>
      <c r="G15" s="49">
        <v>519</v>
      </c>
      <c r="H15" s="37">
        <v>631368.48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1"/>
      <c r="T15" s="41"/>
      <c r="U15" s="41"/>
      <c r="V15" s="41"/>
      <c r="W15" s="41"/>
      <c r="X15" s="41"/>
    </row>
    <row r="16" spans="1:24" ht="15" customHeight="1" x14ac:dyDescent="0.25">
      <c r="A16" s="109">
        <v>8</v>
      </c>
      <c r="B16" s="56" t="s">
        <v>47</v>
      </c>
      <c r="C16" s="92">
        <v>695327.98</v>
      </c>
      <c r="D16" s="48">
        <v>0</v>
      </c>
      <c r="E16" s="6">
        <v>0</v>
      </c>
      <c r="F16" s="94">
        <v>0</v>
      </c>
      <c r="G16" s="49">
        <v>349</v>
      </c>
      <c r="H16" s="92">
        <v>695327.98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1"/>
      <c r="T16" s="41"/>
      <c r="U16" s="41"/>
      <c r="V16" s="41"/>
      <c r="W16" s="41"/>
      <c r="X16" s="41"/>
    </row>
    <row r="17" spans="1:27" ht="15" customHeight="1" x14ac:dyDescent="0.25">
      <c r="A17" s="105">
        <v>9</v>
      </c>
      <c r="B17" s="56" t="s">
        <v>48</v>
      </c>
      <c r="C17" s="37">
        <v>497510.21</v>
      </c>
      <c r="D17" s="48">
        <v>0</v>
      </c>
      <c r="E17" s="6">
        <v>0</v>
      </c>
      <c r="F17" s="94">
        <v>0</v>
      </c>
      <c r="G17" s="49">
        <v>390</v>
      </c>
      <c r="H17" s="37">
        <v>497510.21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1"/>
      <c r="T17" s="41"/>
      <c r="U17" s="41"/>
      <c r="V17" s="41"/>
      <c r="W17" s="41"/>
      <c r="X17" s="41"/>
    </row>
    <row r="18" spans="1:27" ht="15" customHeight="1" x14ac:dyDescent="0.25">
      <c r="A18" s="105">
        <v>10</v>
      </c>
      <c r="B18" s="56" t="s">
        <v>49</v>
      </c>
      <c r="C18" s="37">
        <v>497510.21</v>
      </c>
      <c r="D18" s="48">
        <v>0</v>
      </c>
      <c r="E18" s="6">
        <v>0</v>
      </c>
      <c r="F18" s="94">
        <v>0</v>
      </c>
      <c r="G18" s="49">
        <v>390</v>
      </c>
      <c r="H18" s="37">
        <v>497510.21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1"/>
      <c r="T18" s="41"/>
      <c r="U18" s="41"/>
      <c r="V18" s="41"/>
      <c r="W18" s="41"/>
      <c r="X18" s="41"/>
    </row>
    <row r="19" spans="1:27" ht="15" customHeight="1" x14ac:dyDescent="0.25">
      <c r="A19" s="105">
        <v>11</v>
      </c>
      <c r="B19" s="56" t="s">
        <v>50</v>
      </c>
      <c r="C19" s="37">
        <v>631368.48</v>
      </c>
      <c r="D19" s="48">
        <v>0</v>
      </c>
      <c r="E19" s="6">
        <v>0</v>
      </c>
      <c r="F19" s="94">
        <v>0</v>
      </c>
      <c r="G19" s="49">
        <v>519</v>
      </c>
      <c r="H19" s="37">
        <v>631368.48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1"/>
      <c r="T19" s="41"/>
      <c r="U19" s="41"/>
      <c r="V19" s="41"/>
      <c r="W19" s="41"/>
      <c r="X19" s="41"/>
    </row>
    <row r="20" spans="1:27" ht="15" customHeight="1" x14ac:dyDescent="0.25">
      <c r="A20" s="105">
        <v>12</v>
      </c>
      <c r="B20" s="56" t="s">
        <v>51</v>
      </c>
      <c r="C20" s="37">
        <v>473134.68</v>
      </c>
      <c r="D20" s="48">
        <v>0</v>
      </c>
      <c r="E20" s="6">
        <v>0</v>
      </c>
      <c r="F20" s="94">
        <v>0</v>
      </c>
      <c r="G20" s="49">
        <v>302</v>
      </c>
      <c r="H20" s="37">
        <v>473134.68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1"/>
      <c r="T20" s="41"/>
      <c r="U20" s="41"/>
      <c r="V20" s="41"/>
      <c r="W20" s="41"/>
      <c r="X20" s="41"/>
    </row>
    <row r="21" spans="1:27" ht="15" customHeight="1" x14ac:dyDescent="0.25">
      <c r="A21" s="108">
        <v>13</v>
      </c>
      <c r="B21" s="56" t="s">
        <v>52</v>
      </c>
      <c r="C21" s="37">
        <v>773230.15</v>
      </c>
      <c r="D21" s="48">
        <v>0</v>
      </c>
      <c r="E21" s="6">
        <v>0</v>
      </c>
      <c r="F21" s="94">
        <v>0</v>
      </c>
      <c r="G21" s="49">
        <v>581</v>
      </c>
      <c r="H21" s="37">
        <v>773230.15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1"/>
      <c r="T21" s="41"/>
      <c r="U21" s="41"/>
      <c r="V21" s="41"/>
      <c r="W21" s="41"/>
      <c r="X21" s="41"/>
    </row>
    <row r="22" spans="1:27" ht="15" customHeight="1" x14ac:dyDescent="0.25">
      <c r="A22" s="109">
        <v>14</v>
      </c>
      <c r="B22" s="56" t="s">
        <v>53</v>
      </c>
      <c r="C22" s="37">
        <v>1202205.8400000001</v>
      </c>
      <c r="D22" s="48">
        <v>0</v>
      </c>
      <c r="E22" s="6">
        <v>0</v>
      </c>
      <c r="F22" s="94">
        <v>0</v>
      </c>
      <c r="G22" s="49">
        <v>748</v>
      </c>
      <c r="H22" s="37">
        <v>1202205.8400000001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1"/>
      <c r="T22" s="41"/>
      <c r="U22" s="41"/>
      <c r="V22" s="41"/>
      <c r="W22" s="41"/>
      <c r="X22" s="41"/>
    </row>
    <row r="23" spans="1:27" ht="15" customHeight="1" x14ac:dyDescent="0.25">
      <c r="A23" s="105">
        <v>15</v>
      </c>
      <c r="B23" s="56" t="s">
        <v>54</v>
      </c>
      <c r="C23" s="37">
        <v>1430699.87</v>
      </c>
      <c r="D23" s="48">
        <v>0</v>
      </c>
      <c r="E23" s="6">
        <v>0</v>
      </c>
      <c r="F23" s="94">
        <v>0</v>
      </c>
      <c r="G23" s="49">
        <v>829</v>
      </c>
      <c r="H23" s="37">
        <v>1430699.87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1"/>
      <c r="T23" s="41"/>
      <c r="U23" s="41"/>
      <c r="V23" s="41"/>
      <c r="W23" s="41"/>
      <c r="X23" s="41"/>
    </row>
    <row r="24" spans="1:27" ht="15" customHeight="1" x14ac:dyDescent="0.25">
      <c r="A24" s="105">
        <v>16</v>
      </c>
      <c r="B24" s="58" t="s">
        <v>55</v>
      </c>
      <c r="C24" s="37">
        <f>3*1600000</f>
        <v>4800000</v>
      </c>
      <c r="D24" s="48">
        <v>0</v>
      </c>
      <c r="E24" s="6">
        <v>3</v>
      </c>
      <c r="F24" s="37">
        <f>3*1600000</f>
        <v>4800000</v>
      </c>
      <c r="G24" s="49">
        <v>0</v>
      </c>
      <c r="H24" s="37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1"/>
      <c r="T24" s="41"/>
      <c r="U24" s="41"/>
      <c r="V24" s="41"/>
      <c r="W24" s="41"/>
      <c r="X24" s="41"/>
    </row>
    <row r="25" spans="1:27" ht="15" customHeight="1" x14ac:dyDescent="0.25">
      <c r="A25" s="105">
        <v>17</v>
      </c>
      <c r="B25" s="56" t="s">
        <v>56</v>
      </c>
      <c r="C25" s="37">
        <v>2124055.86</v>
      </c>
      <c r="D25" s="48">
        <v>0</v>
      </c>
      <c r="E25" s="6">
        <v>0</v>
      </c>
      <c r="F25" s="50">
        <v>0</v>
      </c>
      <c r="G25" s="49">
        <v>1222</v>
      </c>
      <c r="H25" s="37">
        <v>2124055.86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1"/>
      <c r="T25" s="41"/>
      <c r="U25" s="41"/>
      <c r="V25" s="41"/>
      <c r="W25" s="41"/>
      <c r="X25" s="41"/>
    </row>
    <row r="26" spans="1:27" ht="15" customHeight="1" x14ac:dyDescent="0.25">
      <c r="A26" s="105">
        <v>18</v>
      </c>
      <c r="B26" s="56" t="s">
        <v>57</v>
      </c>
      <c r="C26" s="37">
        <f>1600000</f>
        <v>1600000</v>
      </c>
      <c r="D26" s="48">
        <v>0</v>
      </c>
      <c r="E26" s="6">
        <v>1</v>
      </c>
      <c r="F26" s="37">
        <f>1600000</f>
        <v>1600000</v>
      </c>
      <c r="G26" s="49">
        <v>0</v>
      </c>
      <c r="H26" s="50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41"/>
      <c r="T26" s="41"/>
      <c r="U26" s="41"/>
      <c r="V26" s="41"/>
      <c r="W26" s="41"/>
      <c r="X26" s="41"/>
    </row>
    <row r="27" spans="1:27" ht="15" customHeight="1" x14ac:dyDescent="0.25">
      <c r="A27" s="108">
        <v>19</v>
      </c>
      <c r="B27" s="58" t="s">
        <v>58</v>
      </c>
      <c r="C27" s="37">
        <v>2109289.92</v>
      </c>
      <c r="D27" s="92">
        <v>0</v>
      </c>
      <c r="E27" s="93">
        <v>0</v>
      </c>
      <c r="F27" s="94">
        <v>0</v>
      </c>
      <c r="G27" s="95">
        <v>1173</v>
      </c>
      <c r="H27" s="37">
        <v>2109289.92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41"/>
      <c r="T27" s="41"/>
      <c r="U27" s="41"/>
      <c r="V27" s="41"/>
      <c r="W27" s="41"/>
      <c r="X27" s="41"/>
    </row>
    <row r="28" spans="1:27" ht="15" customHeight="1" x14ac:dyDescent="0.25">
      <c r="A28" s="109">
        <v>20</v>
      </c>
      <c r="B28" s="58" t="s">
        <v>59</v>
      </c>
      <c r="C28" s="37">
        <f>2*1630000</f>
        <v>3260000</v>
      </c>
      <c r="D28" s="48">
        <v>0</v>
      </c>
      <c r="E28" s="6">
        <v>2</v>
      </c>
      <c r="F28" s="37">
        <f>2*1630000</f>
        <v>3260000</v>
      </c>
      <c r="G28" s="49">
        <v>0</v>
      </c>
      <c r="H28" s="50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41"/>
      <c r="T28" s="41"/>
      <c r="U28" s="41"/>
      <c r="V28" s="41"/>
      <c r="W28" s="41"/>
      <c r="X28" s="41"/>
    </row>
    <row r="29" spans="1:27" ht="15" customHeight="1" x14ac:dyDescent="0.25">
      <c r="A29" s="54"/>
      <c r="B29" s="59" t="s">
        <v>35</v>
      </c>
      <c r="C29" s="103">
        <f>SUM(C9:C28)</f>
        <v>51185701.680000007</v>
      </c>
      <c r="D29" s="103">
        <f t="shared" ref="D29:R29" si="1">SUM(D9:D28)</f>
        <v>0</v>
      </c>
      <c r="E29" s="103">
        <f t="shared" si="1"/>
        <v>25</v>
      </c>
      <c r="F29" s="103">
        <f t="shared" si="1"/>
        <v>40120000</v>
      </c>
      <c r="G29" s="95">
        <f t="shared" si="1"/>
        <v>7022</v>
      </c>
      <c r="H29" s="103">
        <f t="shared" si="1"/>
        <v>11065701.68</v>
      </c>
      <c r="I29" s="103">
        <f t="shared" si="1"/>
        <v>0</v>
      </c>
      <c r="J29" s="103">
        <f t="shared" si="1"/>
        <v>0</v>
      </c>
      <c r="K29" s="103">
        <f t="shared" si="1"/>
        <v>0</v>
      </c>
      <c r="L29" s="103">
        <f t="shared" si="1"/>
        <v>0</v>
      </c>
      <c r="M29" s="103">
        <f t="shared" si="1"/>
        <v>0</v>
      </c>
      <c r="N29" s="103">
        <f t="shared" si="1"/>
        <v>0</v>
      </c>
      <c r="O29" s="103">
        <f t="shared" si="1"/>
        <v>0</v>
      </c>
      <c r="P29" s="103">
        <f t="shared" si="1"/>
        <v>0</v>
      </c>
      <c r="Q29" s="103">
        <f t="shared" si="1"/>
        <v>0</v>
      </c>
      <c r="R29" s="103">
        <f t="shared" si="1"/>
        <v>0</v>
      </c>
      <c r="S29" s="52"/>
      <c r="T29" s="52"/>
      <c r="U29" s="52"/>
      <c r="V29" s="52"/>
      <c r="W29" s="52"/>
      <c r="X29" s="52"/>
      <c r="Y29" s="15"/>
      <c r="Z29" s="15"/>
      <c r="AA29" s="15"/>
    </row>
    <row r="31" spans="1:27" ht="14.45" x14ac:dyDescent="0.3">
      <c r="F31" s="64"/>
    </row>
    <row r="32" spans="1:27" ht="15.75" x14ac:dyDescent="0.25">
      <c r="B32" s="30" t="s">
        <v>103</v>
      </c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3"/>
      <c r="N32" s="32"/>
      <c r="O32" s="33"/>
      <c r="P32" s="34"/>
    </row>
    <row r="33" spans="2:16" ht="15.75" x14ac:dyDescent="0.25">
      <c r="B33" s="28" t="s">
        <v>38</v>
      </c>
      <c r="C33" s="29"/>
      <c r="D33" s="29"/>
      <c r="E33" s="29"/>
      <c r="F33" s="29"/>
      <c r="G33" s="29"/>
      <c r="H33" s="29"/>
      <c r="I33" s="29" t="s">
        <v>104</v>
      </c>
      <c r="J33" s="29"/>
      <c r="K33" s="29"/>
      <c r="L33" s="29"/>
      <c r="M33" s="29"/>
      <c r="O33" s="29"/>
      <c r="P33" s="29"/>
    </row>
    <row r="34" spans="2:16" ht="15.6" x14ac:dyDescent="0.3">
      <c r="B34" s="30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3"/>
      <c r="N34" s="32"/>
      <c r="O34" s="33"/>
      <c r="P34" s="34"/>
    </row>
    <row r="35" spans="2:16" ht="15.6" x14ac:dyDescent="0.3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ht="15.6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6" ht="15.6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2:16" ht="15.6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</sheetData>
  <mergeCells count="14">
    <mergeCell ref="M1:R1"/>
    <mergeCell ref="M5:N5"/>
    <mergeCell ref="A8:B8"/>
    <mergeCell ref="C2:N2"/>
    <mergeCell ref="A3:R3"/>
    <mergeCell ref="A4:A6"/>
    <mergeCell ref="B4:B6"/>
    <mergeCell ref="C4:C5"/>
    <mergeCell ref="D4:N4"/>
    <mergeCell ref="O4:R4"/>
    <mergeCell ref="E5:F5"/>
    <mergeCell ref="G5:H5"/>
    <mergeCell ref="I5:J5"/>
    <mergeCell ref="K5:L5"/>
  </mergeCells>
  <pageMargins left="0.35433070866141736" right="0.19685039370078741" top="0.24" bottom="0.2" header="0.2" footer="0.2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16" sqref="H16"/>
    </sheetView>
  </sheetViews>
  <sheetFormatPr defaultRowHeight="15" x14ac:dyDescent="0.25"/>
  <cols>
    <col min="1" max="1" width="24.85546875" customWidth="1"/>
    <col min="2" max="2" width="16.42578125" customWidth="1"/>
    <col min="3" max="3" width="23.5703125" customWidth="1"/>
    <col min="12" max="12" width="13.140625" customWidth="1"/>
    <col min="13" max="13" width="14.140625" customWidth="1"/>
  </cols>
  <sheetData>
    <row r="1" spans="1:16" ht="14.45" x14ac:dyDescent="0.3">
      <c r="I1" s="137"/>
      <c r="J1" s="138"/>
      <c r="K1" s="138"/>
      <c r="L1" s="138"/>
      <c r="M1" s="138"/>
    </row>
    <row r="2" spans="1:16" ht="25.5" customHeight="1" x14ac:dyDescent="0.25">
      <c r="A2" s="99"/>
      <c r="B2" s="140" t="s">
        <v>100</v>
      </c>
      <c r="C2" s="140"/>
      <c r="D2" s="140"/>
      <c r="E2" s="140"/>
      <c r="F2" s="140"/>
      <c r="G2" s="140"/>
      <c r="H2" s="140"/>
      <c r="I2" s="140"/>
      <c r="J2" s="140"/>
      <c r="K2" s="140"/>
      <c r="L2" s="99"/>
      <c r="M2" s="99"/>
    </row>
    <row r="3" spans="1:16" ht="15" customHeight="1" x14ac:dyDescent="0.25">
      <c r="A3" s="139"/>
      <c r="B3" s="139" t="s">
        <v>76</v>
      </c>
      <c r="C3" s="139" t="s">
        <v>7</v>
      </c>
      <c r="D3" s="139" t="s">
        <v>77</v>
      </c>
      <c r="E3" s="139"/>
      <c r="F3" s="139"/>
      <c r="G3" s="139"/>
      <c r="H3" s="139"/>
      <c r="I3" s="139" t="s">
        <v>8</v>
      </c>
      <c r="J3" s="139"/>
      <c r="K3" s="139"/>
      <c r="L3" s="139"/>
      <c r="M3" s="139"/>
    </row>
    <row r="4" spans="1:16" ht="46.5" customHeight="1" x14ac:dyDescent="0.25">
      <c r="A4" s="139"/>
      <c r="B4" s="139"/>
      <c r="C4" s="139"/>
      <c r="D4" s="107" t="s">
        <v>78</v>
      </c>
      <c r="E4" s="107" t="s">
        <v>79</v>
      </c>
      <c r="F4" s="107" t="s">
        <v>80</v>
      </c>
      <c r="G4" s="107" t="s">
        <v>81</v>
      </c>
      <c r="H4" s="107" t="s">
        <v>14</v>
      </c>
      <c r="I4" s="107" t="s">
        <v>78</v>
      </c>
      <c r="J4" s="107" t="s">
        <v>79</v>
      </c>
      <c r="K4" s="107" t="s">
        <v>80</v>
      </c>
      <c r="L4" s="107" t="s">
        <v>81</v>
      </c>
      <c r="M4" s="107" t="s">
        <v>14</v>
      </c>
    </row>
    <row r="5" spans="1:16" x14ac:dyDescent="0.25">
      <c r="A5" s="139"/>
      <c r="B5" s="107" t="s">
        <v>82</v>
      </c>
      <c r="C5" s="73" t="s">
        <v>21</v>
      </c>
      <c r="D5" s="73" t="s">
        <v>71</v>
      </c>
      <c r="E5" s="73" t="s">
        <v>71</v>
      </c>
      <c r="F5" s="73" t="s">
        <v>71</v>
      </c>
      <c r="G5" s="73" t="s">
        <v>71</v>
      </c>
      <c r="H5" s="73" t="s">
        <v>71</v>
      </c>
      <c r="I5" s="73" t="s">
        <v>22</v>
      </c>
      <c r="J5" s="73" t="s">
        <v>22</v>
      </c>
      <c r="K5" s="73" t="s">
        <v>22</v>
      </c>
      <c r="L5" s="73" t="s">
        <v>22</v>
      </c>
      <c r="M5" s="73" t="s">
        <v>22</v>
      </c>
    </row>
    <row r="6" spans="1:16" ht="14.45" x14ac:dyDescent="0.3">
      <c r="A6" s="73">
        <v>2</v>
      </c>
      <c r="B6" s="73">
        <v>3</v>
      </c>
      <c r="C6" s="73">
        <v>4</v>
      </c>
      <c r="D6" s="73">
        <v>5</v>
      </c>
      <c r="E6" s="73">
        <v>6</v>
      </c>
      <c r="F6" s="73">
        <v>7</v>
      </c>
      <c r="G6" s="73">
        <v>8</v>
      </c>
      <c r="H6" s="73">
        <v>9</v>
      </c>
      <c r="I6" s="73">
        <v>10</v>
      </c>
      <c r="J6" s="73">
        <v>11</v>
      </c>
      <c r="K6" s="73">
        <v>12</v>
      </c>
      <c r="L6" s="73">
        <v>13</v>
      </c>
      <c r="M6" s="73">
        <v>14</v>
      </c>
    </row>
    <row r="7" spans="1:16" ht="30" x14ac:dyDescent="0.25">
      <c r="A7" s="74" t="s">
        <v>83</v>
      </c>
      <c r="B7" s="75">
        <v>68567.399999999994</v>
      </c>
      <c r="C7" s="73">
        <v>2788</v>
      </c>
      <c r="D7" s="73">
        <v>0</v>
      </c>
      <c r="E7" s="73">
        <v>0</v>
      </c>
      <c r="F7" s="73">
        <v>0</v>
      </c>
      <c r="G7" s="73">
        <v>20</v>
      </c>
      <c r="H7" s="73">
        <v>20</v>
      </c>
      <c r="I7" s="76">
        <v>0</v>
      </c>
      <c r="J7" s="76">
        <v>0</v>
      </c>
      <c r="K7" s="76">
        <v>0</v>
      </c>
      <c r="L7" s="77">
        <v>51185701.68</v>
      </c>
      <c r="M7" s="77">
        <v>51185701.68</v>
      </c>
    </row>
    <row r="8" spans="1:16" ht="14.45" x14ac:dyDescent="0.3">
      <c r="A8" s="73">
        <v>2016</v>
      </c>
      <c r="B8" s="75">
        <f>B7</f>
        <v>68567.399999999994</v>
      </c>
      <c r="C8" s="107">
        <f t="shared" ref="C8:M8" si="0">C7</f>
        <v>2788</v>
      </c>
      <c r="D8" s="107">
        <f t="shared" si="0"/>
        <v>0</v>
      </c>
      <c r="E8" s="107">
        <f t="shared" si="0"/>
        <v>0</v>
      </c>
      <c r="F8" s="107">
        <f t="shared" si="0"/>
        <v>0</v>
      </c>
      <c r="G8" s="107">
        <f t="shared" si="0"/>
        <v>20</v>
      </c>
      <c r="H8" s="107">
        <f t="shared" si="0"/>
        <v>20</v>
      </c>
      <c r="I8" s="76">
        <v>0</v>
      </c>
      <c r="J8" s="76">
        <v>0</v>
      </c>
      <c r="K8" s="76">
        <v>0</v>
      </c>
      <c r="L8" s="77">
        <f t="shared" si="0"/>
        <v>51185701.68</v>
      </c>
      <c r="M8" s="77">
        <f t="shared" si="0"/>
        <v>51185701.68</v>
      </c>
    </row>
    <row r="10" spans="1:16" x14ac:dyDescent="0.25">
      <c r="A10" s="65" t="s">
        <v>103</v>
      </c>
      <c r="B10" s="65"/>
      <c r="C10" s="66"/>
      <c r="D10" s="66"/>
      <c r="E10" s="66"/>
      <c r="F10" s="66"/>
      <c r="G10" s="66"/>
      <c r="H10" s="66"/>
      <c r="I10" s="66"/>
      <c r="K10" s="66"/>
      <c r="L10" s="67"/>
      <c r="M10" s="68"/>
      <c r="N10" s="67"/>
      <c r="O10" s="68"/>
      <c r="P10" s="69"/>
    </row>
    <row r="11" spans="1:16" x14ac:dyDescent="0.25">
      <c r="A11" s="70" t="s">
        <v>38</v>
      </c>
      <c r="B11" s="71"/>
      <c r="C11" s="71"/>
      <c r="D11" s="71"/>
      <c r="E11" s="78"/>
      <c r="F11" s="78"/>
      <c r="G11" s="78"/>
      <c r="H11" s="71" t="s">
        <v>104</v>
      </c>
      <c r="I11" s="71"/>
      <c r="K11" s="71"/>
      <c r="L11" s="71"/>
      <c r="M11" s="71"/>
      <c r="N11" s="69"/>
      <c r="O11" s="71"/>
      <c r="P11" s="69"/>
    </row>
    <row r="12" spans="1:16" ht="14.45" x14ac:dyDescent="0.3">
      <c r="B12" s="65"/>
      <c r="C12" s="65"/>
      <c r="D12" s="66"/>
      <c r="E12" s="66"/>
      <c r="F12" s="66"/>
      <c r="G12" s="66"/>
      <c r="H12" s="66"/>
      <c r="I12" s="66"/>
      <c r="J12" s="66"/>
      <c r="K12" s="66"/>
      <c r="L12" s="67"/>
      <c r="M12" s="68"/>
      <c r="N12" s="67"/>
      <c r="O12" s="68"/>
      <c r="P12" s="69"/>
    </row>
    <row r="13" spans="1:16" ht="14.45" x14ac:dyDescent="0.3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69"/>
    </row>
    <row r="14" spans="1:16" ht="14.45" x14ac:dyDescent="0.3">
      <c r="A14" s="23"/>
      <c r="B14" s="23"/>
      <c r="C14" s="23"/>
      <c r="D14" s="23"/>
      <c r="E14" s="23"/>
      <c r="F14" s="23"/>
      <c r="H14" s="23"/>
      <c r="I14" s="23"/>
      <c r="J14" s="23"/>
      <c r="K14" s="23"/>
      <c r="L14" s="23"/>
      <c r="M14" s="23"/>
      <c r="N14" s="69"/>
      <c r="O14" s="69"/>
      <c r="P14" s="69"/>
    </row>
    <row r="15" spans="1:16" ht="14.45" x14ac:dyDescent="0.3">
      <c r="A15" s="23"/>
      <c r="B15" s="23"/>
      <c r="C15" s="23"/>
      <c r="D15" s="23"/>
      <c r="E15" s="23"/>
      <c r="F15" s="23"/>
      <c r="H15" s="23"/>
      <c r="I15" s="23"/>
      <c r="J15" s="23"/>
      <c r="K15" s="23"/>
      <c r="L15" s="23"/>
      <c r="M15" s="23"/>
      <c r="N15" s="69"/>
      <c r="O15" s="69"/>
      <c r="P15" s="69"/>
    </row>
    <row r="16" spans="1:16" ht="14.45" x14ac:dyDescent="0.3">
      <c r="A16" s="23"/>
      <c r="B16" s="23"/>
      <c r="C16" s="23"/>
      <c r="D16" s="23"/>
      <c r="E16" s="23"/>
      <c r="F16" s="23"/>
      <c r="H16" s="23"/>
      <c r="I16" s="23"/>
      <c r="J16" s="23"/>
      <c r="K16" s="23"/>
      <c r="L16" s="23"/>
      <c r="M16" s="23"/>
      <c r="N16" s="69"/>
      <c r="O16" s="69"/>
      <c r="P16" s="69"/>
    </row>
  </sheetData>
  <mergeCells count="7">
    <mergeCell ref="I1:M1"/>
    <mergeCell ref="A3:A5"/>
    <mergeCell ref="B3:B4"/>
    <mergeCell ref="C3:C4"/>
    <mergeCell ref="D3:H3"/>
    <mergeCell ref="I3:M3"/>
    <mergeCell ref="B2:K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="75" zoomScaleNormal="75" workbookViewId="0">
      <selection activeCell="N4" sqref="N4"/>
    </sheetView>
  </sheetViews>
  <sheetFormatPr defaultRowHeight="15" x14ac:dyDescent="0.25"/>
  <cols>
    <col min="1" max="1" width="4.5703125" customWidth="1"/>
    <col min="2" max="2" width="39.7109375" customWidth="1"/>
    <col min="3" max="3" width="12.140625" customWidth="1"/>
    <col min="4" max="4" width="11.7109375" customWidth="1"/>
    <col min="5" max="5" width="12.5703125" customWidth="1"/>
    <col min="6" max="6" width="11" customWidth="1"/>
    <col min="7" max="8" width="15.5703125" customWidth="1"/>
    <col min="9" max="9" width="15" customWidth="1"/>
    <col min="10" max="11" width="14.85546875" customWidth="1"/>
    <col min="13" max="13" width="24.42578125" customWidth="1"/>
    <col min="14" max="14" width="14" customWidth="1"/>
    <col min="15" max="15" width="14.28515625" customWidth="1"/>
  </cols>
  <sheetData>
    <row r="1" spans="1:16" ht="14.45" x14ac:dyDescent="0.3">
      <c r="L1" s="96"/>
      <c r="M1" s="98"/>
      <c r="N1" s="98"/>
      <c r="O1" s="98"/>
      <c r="P1" s="98"/>
    </row>
    <row r="2" spans="1:16" ht="14.45" x14ac:dyDescent="0.3">
      <c r="L2" s="96"/>
      <c r="M2" s="97"/>
      <c r="N2" s="97"/>
      <c r="O2" s="97"/>
      <c r="P2" s="97"/>
    </row>
    <row r="3" spans="1:16" ht="14.45" x14ac:dyDescent="0.3">
      <c r="K3" s="62"/>
      <c r="L3" s="97"/>
      <c r="M3" s="97"/>
      <c r="N3" s="97"/>
      <c r="O3" s="97"/>
      <c r="P3" s="97"/>
    </row>
    <row r="4" spans="1:16" ht="14.45" x14ac:dyDescent="0.3">
      <c r="K4" s="62"/>
      <c r="L4" s="97"/>
      <c r="M4" s="97"/>
      <c r="N4" s="97"/>
      <c r="O4" s="97"/>
      <c r="P4" s="97"/>
    </row>
    <row r="5" spans="1:16" ht="48.75" customHeight="1" x14ac:dyDescent="0.25">
      <c r="C5" s="147" t="s">
        <v>101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6" ht="15.6" x14ac:dyDescent="0.3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51"/>
      <c r="P6" s="151"/>
    </row>
    <row r="7" spans="1:16" ht="15" customHeight="1" x14ac:dyDescent="0.25">
      <c r="A7" s="122" t="s">
        <v>0</v>
      </c>
      <c r="B7" s="122" t="s">
        <v>25</v>
      </c>
      <c r="C7" s="119" t="s">
        <v>5</v>
      </c>
      <c r="D7" s="122" t="s">
        <v>6</v>
      </c>
      <c r="E7" s="122"/>
      <c r="F7" s="119" t="s">
        <v>84</v>
      </c>
      <c r="G7" s="122" t="s">
        <v>8</v>
      </c>
      <c r="H7" s="122"/>
      <c r="I7" s="122"/>
      <c r="J7" s="122"/>
      <c r="K7" s="122"/>
      <c r="L7" s="119" t="s">
        <v>85</v>
      </c>
      <c r="M7" s="119" t="s">
        <v>86</v>
      </c>
      <c r="N7" s="119" t="s">
        <v>87</v>
      </c>
      <c r="O7" s="119" t="s">
        <v>88</v>
      </c>
      <c r="P7" s="119" t="s">
        <v>89</v>
      </c>
    </row>
    <row r="8" spans="1:16" ht="15" customHeight="1" x14ac:dyDescent="0.25">
      <c r="A8" s="122"/>
      <c r="B8" s="122"/>
      <c r="C8" s="119"/>
      <c r="D8" s="119" t="s">
        <v>14</v>
      </c>
      <c r="E8" s="119" t="s">
        <v>15</v>
      </c>
      <c r="F8" s="119"/>
      <c r="G8" s="119" t="s">
        <v>14</v>
      </c>
      <c r="H8" s="122" t="s">
        <v>16</v>
      </c>
      <c r="I8" s="122"/>
      <c r="J8" s="122"/>
      <c r="K8" s="122"/>
      <c r="L8" s="119"/>
      <c r="M8" s="119"/>
      <c r="N8" s="119"/>
      <c r="O8" s="146"/>
      <c r="P8" s="119"/>
    </row>
    <row r="9" spans="1:16" ht="105" customHeight="1" x14ac:dyDescent="0.25">
      <c r="A9" s="122"/>
      <c r="B9" s="122"/>
      <c r="C9" s="119"/>
      <c r="D9" s="119"/>
      <c r="E9" s="119"/>
      <c r="F9" s="119"/>
      <c r="G9" s="119"/>
      <c r="H9" s="104" t="s">
        <v>24</v>
      </c>
      <c r="I9" s="104" t="s">
        <v>17</v>
      </c>
      <c r="J9" s="104" t="s">
        <v>18</v>
      </c>
      <c r="K9" s="104" t="s">
        <v>19</v>
      </c>
      <c r="L9" s="119"/>
      <c r="M9" s="119"/>
      <c r="N9" s="119"/>
      <c r="O9" s="146"/>
      <c r="P9" s="119"/>
    </row>
    <row r="10" spans="1:16" x14ac:dyDescent="0.25">
      <c r="A10" s="122"/>
      <c r="B10" s="122"/>
      <c r="C10" s="105" t="s">
        <v>20</v>
      </c>
      <c r="D10" s="105" t="s">
        <v>20</v>
      </c>
      <c r="E10" s="105" t="s">
        <v>20</v>
      </c>
      <c r="F10" s="105" t="s">
        <v>21</v>
      </c>
      <c r="G10" s="105" t="s">
        <v>22</v>
      </c>
      <c r="H10" s="105" t="s">
        <v>22</v>
      </c>
      <c r="I10" s="105" t="s">
        <v>22</v>
      </c>
      <c r="J10" s="105" t="s">
        <v>22</v>
      </c>
      <c r="K10" s="105" t="s">
        <v>22</v>
      </c>
      <c r="L10" s="146"/>
      <c r="M10" s="146"/>
      <c r="N10" s="119"/>
      <c r="O10" s="146"/>
      <c r="P10" s="119"/>
    </row>
    <row r="11" spans="1:16" ht="14.45" x14ac:dyDescent="0.3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  <c r="G11" s="106">
        <v>7</v>
      </c>
      <c r="H11" s="106">
        <v>8</v>
      </c>
      <c r="I11" s="106">
        <v>9</v>
      </c>
      <c r="J11" s="106">
        <v>10</v>
      </c>
      <c r="K11" s="106">
        <v>11</v>
      </c>
      <c r="L11" s="106">
        <v>12</v>
      </c>
      <c r="M11" s="106">
        <v>13</v>
      </c>
      <c r="N11" s="106">
        <v>14</v>
      </c>
      <c r="O11" s="106">
        <v>15</v>
      </c>
      <c r="P11" s="106">
        <v>16</v>
      </c>
    </row>
    <row r="12" spans="1:16" ht="15" customHeight="1" x14ac:dyDescent="0.25">
      <c r="A12" s="126" t="s">
        <v>39</v>
      </c>
      <c r="B12" s="126"/>
      <c r="C12" s="22">
        <f t="shared" ref="C12:K12" si="0">C31+C36+C39</f>
        <v>69574.100000000006</v>
      </c>
      <c r="D12" s="22">
        <f t="shared" si="0"/>
        <v>64586.200000000004</v>
      </c>
      <c r="E12" s="22">
        <f t="shared" si="0"/>
        <v>56723.299999999988</v>
      </c>
      <c r="F12" s="26">
        <f t="shared" si="0"/>
        <v>2788</v>
      </c>
      <c r="G12" s="22">
        <f t="shared" si="0"/>
        <v>51185701.680000007</v>
      </c>
      <c r="H12" s="22">
        <f t="shared" si="0"/>
        <v>8244736.8999999994</v>
      </c>
      <c r="I12" s="22">
        <f t="shared" si="0"/>
        <v>23724828.640000001</v>
      </c>
      <c r="J12" s="22">
        <f t="shared" si="0"/>
        <v>11538280.85</v>
      </c>
      <c r="K12" s="22">
        <f t="shared" si="0"/>
        <v>7677855.290000001</v>
      </c>
      <c r="L12" s="106" t="s">
        <v>28</v>
      </c>
      <c r="M12" s="106" t="s">
        <v>28</v>
      </c>
      <c r="N12" s="106"/>
      <c r="O12" s="106"/>
      <c r="P12" s="106" t="s">
        <v>28</v>
      </c>
    </row>
    <row r="13" spans="1:16" ht="15" customHeight="1" x14ac:dyDescent="0.25">
      <c r="A13" s="141" t="s">
        <v>33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</row>
    <row r="14" spans="1:16" ht="15" customHeight="1" x14ac:dyDescent="0.25">
      <c r="A14" s="3">
        <v>1</v>
      </c>
      <c r="B14" s="56" t="s">
        <v>40</v>
      </c>
      <c r="C14" s="9">
        <v>12728.2</v>
      </c>
      <c r="D14" s="2">
        <v>11595.8</v>
      </c>
      <c r="E14" s="2">
        <f>D14-1701.1</f>
        <v>9894.6999999999989</v>
      </c>
      <c r="F14" s="3">
        <v>490</v>
      </c>
      <c r="G14" s="37">
        <f>6*1600000</f>
        <v>9600000</v>
      </c>
      <c r="H14" s="112">
        <v>1546320</v>
      </c>
      <c r="I14" s="112">
        <v>4449648</v>
      </c>
      <c r="J14" s="112">
        <v>2164032</v>
      </c>
      <c r="K14" s="22">
        <f>ROUND((15%*G14/1),2)</f>
        <v>1440000</v>
      </c>
      <c r="L14" s="79"/>
      <c r="M14" s="87" t="s">
        <v>91</v>
      </c>
      <c r="N14" s="89">
        <v>768848.85</v>
      </c>
      <c r="O14" s="89">
        <v>703138.39</v>
      </c>
      <c r="P14" s="40">
        <v>91</v>
      </c>
    </row>
    <row r="15" spans="1:16" ht="15" customHeight="1" x14ac:dyDescent="0.25">
      <c r="A15" s="3">
        <v>2</v>
      </c>
      <c r="B15" s="56" t="s">
        <v>41</v>
      </c>
      <c r="C15" s="9">
        <v>6546</v>
      </c>
      <c r="D15" s="2">
        <v>6285.7</v>
      </c>
      <c r="E15" s="2">
        <f>D15-605.3</f>
        <v>5680.4</v>
      </c>
      <c r="F15" s="3">
        <v>342</v>
      </c>
      <c r="G15" s="37">
        <f>2*1600000</f>
        <v>3200000</v>
      </c>
      <c r="H15" s="112">
        <v>515440</v>
      </c>
      <c r="I15" s="112">
        <v>1483216</v>
      </c>
      <c r="J15" s="112">
        <v>721344</v>
      </c>
      <c r="K15" s="22">
        <f t="shared" ref="K15:K30" si="1">ROUND((15%*G15/1),2)</f>
        <v>480000</v>
      </c>
      <c r="L15" s="79"/>
      <c r="M15" s="87" t="s">
        <v>91</v>
      </c>
      <c r="N15" s="89">
        <v>396911.13</v>
      </c>
      <c r="O15" s="89">
        <v>362253.19</v>
      </c>
      <c r="P15" s="40">
        <v>91</v>
      </c>
    </row>
    <row r="16" spans="1:16" ht="15" customHeight="1" x14ac:dyDescent="0.25">
      <c r="A16" s="3">
        <v>3</v>
      </c>
      <c r="B16" s="56" t="s">
        <v>42</v>
      </c>
      <c r="C16" s="9">
        <v>3776.8</v>
      </c>
      <c r="D16" s="2">
        <v>3612.4</v>
      </c>
      <c r="E16" s="2">
        <f>D16-113.1</f>
        <v>3499.3</v>
      </c>
      <c r="F16" s="3">
        <v>142</v>
      </c>
      <c r="G16" s="37">
        <f>2*1630000</f>
        <v>3260000</v>
      </c>
      <c r="H16" s="112">
        <v>525104.5</v>
      </c>
      <c r="I16" s="112">
        <v>1511026.3</v>
      </c>
      <c r="J16" s="112">
        <v>734869.2</v>
      </c>
      <c r="K16" s="22">
        <f t="shared" si="1"/>
        <v>489000</v>
      </c>
      <c r="L16" s="79"/>
      <c r="M16" s="87" t="s">
        <v>91</v>
      </c>
      <c r="N16" s="89">
        <v>242501.49</v>
      </c>
      <c r="O16" s="89">
        <v>225958.65</v>
      </c>
      <c r="P16" s="40">
        <v>93</v>
      </c>
    </row>
    <row r="17" spans="1:16" ht="15" customHeight="1" x14ac:dyDescent="0.25">
      <c r="A17" s="3">
        <v>4</v>
      </c>
      <c r="B17" s="56" t="s">
        <v>43</v>
      </c>
      <c r="C17" s="80">
        <v>12984.8</v>
      </c>
      <c r="D17" s="81">
        <v>11610</v>
      </c>
      <c r="E17" s="81">
        <f>D17-1380</f>
        <v>10230</v>
      </c>
      <c r="F17" s="81">
        <v>513</v>
      </c>
      <c r="G17" s="37">
        <f>6*1600000</f>
        <v>9600000</v>
      </c>
      <c r="H17" s="112">
        <v>1546320</v>
      </c>
      <c r="I17" s="112">
        <v>4449648</v>
      </c>
      <c r="J17" s="112">
        <v>2164032</v>
      </c>
      <c r="K17" s="22">
        <f t="shared" si="1"/>
        <v>1440000</v>
      </c>
      <c r="L17" s="79"/>
      <c r="M17" s="87" t="s">
        <v>91</v>
      </c>
      <c r="N17" s="89">
        <v>768846.54</v>
      </c>
      <c r="O17" s="89">
        <v>716812.55</v>
      </c>
      <c r="P17" s="40">
        <v>93</v>
      </c>
    </row>
    <row r="18" spans="1:16" ht="15" customHeight="1" x14ac:dyDescent="0.25">
      <c r="A18" s="3">
        <v>5</v>
      </c>
      <c r="B18" s="56" t="s">
        <v>44</v>
      </c>
      <c r="C18" s="11">
        <v>2164</v>
      </c>
      <c r="D18" s="5">
        <v>1939.9</v>
      </c>
      <c r="E18" s="5">
        <f>D18-480.8</f>
        <v>1459.1000000000001</v>
      </c>
      <c r="F18" s="81">
        <v>96</v>
      </c>
      <c r="G18" s="37">
        <f>1600000</f>
        <v>1600000</v>
      </c>
      <c r="H18" s="112">
        <v>257720</v>
      </c>
      <c r="I18" s="112">
        <v>741608</v>
      </c>
      <c r="J18" s="112">
        <v>360672</v>
      </c>
      <c r="K18" s="22">
        <f t="shared" si="1"/>
        <v>240000</v>
      </c>
      <c r="L18" s="79"/>
      <c r="M18" s="87" t="s">
        <v>91</v>
      </c>
      <c r="N18" s="89">
        <v>125165.81</v>
      </c>
      <c r="O18" s="89">
        <v>119044.04</v>
      </c>
      <c r="P18" s="40">
        <v>95</v>
      </c>
    </row>
    <row r="19" spans="1:16" ht="15" customHeight="1" x14ac:dyDescent="0.25">
      <c r="A19" s="3">
        <v>6</v>
      </c>
      <c r="B19" s="57" t="s">
        <v>45</v>
      </c>
      <c r="C19" s="80">
        <v>4328.5</v>
      </c>
      <c r="D19" s="81">
        <v>3866.2</v>
      </c>
      <c r="E19" s="81">
        <f>D19-574.2</f>
        <v>3292</v>
      </c>
      <c r="F19" s="81">
        <v>160</v>
      </c>
      <c r="G19" s="37">
        <f>2*1600000</f>
        <v>3200000</v>
      </c>
      <c r="H19" s="112">
        <v>515440</v>
      </c>
      <c r="I19" s="112">
        <v>1483216</v>
      </c>
      <c r="J19" s="112">
        <v>721344</v>
      </c>
      <c r="K19" s="22">
        <f t="shared" si="1"/>
        <v>480000</v>
      </c>
      <c r="L19" s="79"/>
      <c r="M19" s="87" t="s">
        <v>91</v>
      </c>
      <c r="N19" s="89">
        <v>247068.67</v>
      </c>
      <c r="O19" s="89">
        <v>224441.67</v>
      </c>
      <c r="P19" s="40">
        <v>91</v>
      </c>
    </row>
    <row r="20" spans="1:16" ht="15" customHeight="1" x14ac:dyDescent="0.25">
      <c r="A20" s="3">
        <v>7</v>
      </c>
      <c r="B20" s="56" t="s">
        <v>46</v>
      </c>
      <c r="C20" s="82">
        <v>746.3</v>
      </c>
      <c r="D20" s="40">
        <v>746.3</v>
      </c>
      <c r="E20" s="40">
        <f>D20-54</f>
        <v>692.3</v>
      </c>
      <c r="F20" s="40">
        <v>34</v>
      </c>
      <c r="G20" s="37">
        <v>631368.48</v>
      </c>
      <c r="H20" s="112">
        <v>101697.68</v>
      </c>
      <c r="I20" s="112">
        <v>292642.44</v>
      </c>
      <c r="J20" s="112">
        <v>142323.07999999999</v>
      </c>
      <c r="K20" s="22">
        <f>ROUND((15%*G20/1),2)+0.01</f>
        <v>94705.279999999999</v>
      </c>
      <c r="L20" s="83"/>
      <c r="M20" s="87" t="s">
        <v>91</v>
      </c>
      <c r="N20" s="89">
        <v>35337.96</v>
      </c>
      <c r="O20" s="89">
        <v>32122.97</v>
      </c>
      <c r="P20" s="40">
        <v>91</v>
      </c>
    </row>
    <row r="21" spans="1:16" ht="15" customHeight="1" x14ac:dyDescent="0.25">
      <c r="A21" s="3">
        <v>8</v>
      </c>
      <c r="B21" s="56" t="s">
        <v>47</v>
      </c>
      <c r="C21" s="82">
        <v>494.5</v>
      </c>
      <c r="D21" s="40">
        <v>447.2</v>
      </c>
      <c r="E21" s="40">
        <f>D21-45.5</f>
        <v>401.7</v>
      </c>
      <c r="F21" s="40">
        <v>22</v>
      </c>
      <c r="G21" s="92">
        <v>695327.98</v>
      </c>
      <c r="H21" s="112">
        <v>111999.95</v>
      </c>
      <c r="I21" s="112">
        <v>322288</v>
      </c>
      <c r="J21" s="112">
        <v>156740.82999999999</v>
      </c>
      <c r="K21" s="22">
        <f t="shared" si="1"/>
        <v>104299.2</v>
      </c>
      <c r="L21" s="83"/>
      <c r="M21" s="87" t="s">
        <v>91</v>
      </c>
      <c r="N21" s="89">
        <v>19837.439999999999</v>
      </c>
      <c r="O21" s="89">
        <v>17958.21</v>
      </c>
      <c r="P21" s="40">
        <v>91</v>
      </c>
    </row>
    <row r="22" spans="1:16" ht="15" customHeight="1" x14ac:dyDescent="0.25">
      <c r="A22" s="3">
        <v>9</v>
      </c>
      <c r="B22" s="56" t="s">
        <v>48</v>
      </c>
      <c r="C22" s="82">
        <f>537.2+50.5</f>
        <v>587.70000000000005</v>
      </c>
      <c r="D22" s="40">
        <v>537.20000000000005</v>
      </c>
      <c r="E22" s="40">
        <f>D22-114.5</f>
        <v>422.70000000000005</v>
      </c>
      <c r="F22" s="40">
        <v>36</v>
      </c>
      <c r="G22" s="37">
        <v>497510.21</v>
      </c>
      <c r="H22" s="112">
        <v>80136.460000000006</v>
      </c>
      <c r="I22" s="112">
        <v>230598.47</v>
      </c>
      <c r="J22" s="112">
        <v>112148.75</v>
      </c>
      <c r="K22" s="22">
        <f t="shared" si="1"/>
        <v>74626.53</v>
      </c>
      <c r="L22" s="83"/>
      <c r="M22" s="87" t="s">
        <v>91</v>
      </c>
      <c r="N22" s="89">
        <v>21893.759999999998</v>
      </c>
      <c r="O22" s="89">
        <v>20729.400000000001</v>
      </c>
      <c r="P22" s="40">
        <v>95</v>
      </c>
    </row>
    <row r="23" spans="1:16" ht="15" customHeight="1" x14ac:dyDescent="0.25">
      <c r="A23" s="3">
        <v>10</v>
      </c>
      <c r="B23" s="56" t="s">
        <v>49</v>
      </c>
      <c r="C23" s="82">
        <f>534+50.5</f>
        <v>584.5</v>
      </c>
      <c r="D23" s="40">
        <v>534</v>
      </c>
      <c r="E23" s="40">
        <f>D23-179.3</f>
        <v>354.7</v>
      </c>
      <c r="F23" s="40">
        <v>28</v>
      </c>
      <c r="G23" s="37">
        <v>497510.21</v>
      </c>
      <c r="H23" s="112">
        <v>80136.460000000006</v>
      </c>
      <c r="I23" s="112">
        <v>230598.47</v>
      </c>
      <c r="J23" s="112">
        <v>112148.75</v>
      </c>
      <c r="K23" s="22">
        <f t="shared" si="1"/>
        <v>74626.53</v>
      </c>
      <c r="L23" s="83"/>
      <c r="M23" s="87" t="s">
        <v>91</v>
      </c>
      <c r="N23" s="89">
        <v>18855.18</v>
      </c>
      <c r="O23" s="89">
        <v>18855.18</v>
      </c>
      <c r="P23" s="40">
        <v>100</v>
      </c>
    </row>
    <row r="24" spans="1:16" ht="15" customHeight="1" x14ac:dyDescent="0.25">
      <c r="A24" s="3">
        <v>11</v>
      </c>
      <c r="B24" s="56" t="s">
        <v>50</v>
      </c>
      <c r="C24" s="82">
        <v>756.3</v>
      </c>
      <c r="D24" s="40">
        <v>756.3</v>
      </c>
      <c r="E24" s="40">
        <f>756.3-269.3</f>
        <v>486.99999999999994</v>
      </c>
      <c r="F24" s="40">
        <v>37</v>
      </c>
      <c r="G24" s="37">
        <v>631368.48</v>
      </c>
      <c r="H24" s="112">
        <v>101697.68</v>
      </c>
      <c r="I24" s="112">
        <v>292642.44</v>
      </c>
      <c r="J24" s="112">
        <v>142323.07999999999</v>
      </c>
      <c r="K24" s="22">
        <f>ROUND((15%*G24/1),2)+0.01</f>
        <v>94705.279999999999</v>
      </c>
      <c r="L24" s="83"/>
      <c r="M24" s="87" t="s">
        <v>91</v>
      </c>
      <c r="N24" s="89">
        <v>26090.400000000001</v>
      </c>
      <c r="O24" s="89">
        <v>23576</v>
      </c>
      <c r="P24" s="40">
        <v>90</v>
      </c>
    </row>
    <row r="25" spans="1:16" ht="15" customHeight="1" x14ac:dyDescent="0.25">
      <c r="A25" s="3">
        <v>12</v>
      </c>
      <c r="B25" s="56" t="s">
        <v>51</v>
      </c>
      <c r="C25" s="82">
        <f>324.9+25</f>
        <v>349.9</v>
      </c>
      <c r="D25" s="40">
        <v>324.89999999999998</v>
      </c>
      <c r="E25" s="40">
        <f>D25-62</f>
        <v>262.89999999999998</v>
      </c>
      <c r="F25" s="40">
        <v>13</v>
      </c>
      <c r="G25" s="37">
        <v>473134.68</v>
      </c>
      <c r="H25" s="112">
        <v>76210.17</v>
      </c>
      <c r="I25" s="112">
        <v>219300.29</v>
      </c>
      <c r="J25" s="112">
        <v>106654.02</v>
      </c>
      <c r="K25" s="22">
        <f t="shared" si="1"/>
        <v>70970.2</v>
      </c>
      <c r="L25" s="83"/>
      <c r="M25" s="87" t="s">
        <v>91</v>
      </c>
      <c r="N25" s="89">
        <v>13250.16</v>
      </c>
      <c r="O25" s="89">
        <v>13250.16</v>
      </c>
      <c r="P25" s="40">
        <v>100</v>
      </c>
    </row>
    <row r="26" spans="1:16" ht="15" customHeight="1" x14ac:dyDescent="0.25">
      <c r="A26" s="3">
        <v>13</v>
      </c>
      <c r="B26" s="56" t="s">
        <v>52</v>
      </c>
      <c r="C26" s="80">
        <v>664.9</v>
      </c>
      <c r="D26" s="80">
        <v>647.4</v>
      </c>
      <c r="E26" s="80">
        <f>D26-300.7</f>
        <v>346.7</v>
      </c>
      <c r="F26" s="84">
        <v>41</v>
      </c>
      <c r="G26" s="37">
        <v>773230.15</v>
      </c>
      <c r="H26" s="112">
        <v>124548.05</v>
      </c>
      <c r="I26" s="112">
        <v>358396.04</v>
      </c>
      <c r="J26" s="112">
        <v>174301.54</v>
      </c>
      <c r="K26" s="22">
        <f t="shared" si="1"/>
        <v>115984.52</v>
      </c>
      <c r="L26" s="79"/>
      <c r="M26" s="87" t="s">
        <v>91</v>
      </c>
      <c r="N26" s="89">
        <v>17856.16</v>
      </c>
      <c r="O26" s="89">
        <v>16532.080000000002</v>
      </c>
      <c r="P26" s="40">
        <v>93</v>
      </c>
    </row>
    <row r="27" spans="1:16" ht="15" customHeight="1" x14ac:dyDescent="0.25">
      <c r="A27" s="3">
        <v>14</v>
      </c>
      <c r="B27" s="56" t="s">
        <v>53</v>
      </c>
      <c r="C27" s="80">
        <v>733.9</v>
      </c>
      <c r="D27" s="80">
        <v>718.1</v>
      </c>
      <c r="E27" s="80">
        <f>D27-192.4</f>
        <v>525.70000000000005</v>
      </c>
      <c r="F27" s="84">
        <v>24</v>
      </c>
      <c r="G27" s="37">
        <v>1202205.8400000001</v>
      </c>
      <c r="H27" s="112">
        <v>193645.3</v>
      </c>
      <c r="I27" s="112">
        <v>557228.42000000004</v>
      </c>
      <c r="J27" s="112">
        <v>271001.24</v>
      </c>
      <c r="K27" s="22">
        <f t="shared" si="1"/>
        <v>180330.88</v>
      </c>
      <c r="L27" s="79"/>
      <c r="M27" s="87" t="s">
        <v>95</v>
      </c>
      <c r="N27" s="89">
        <v>26225.919999999998</v>
      </c>
      <c r="O27" s="89">
        <v>24800.32</v>
      </c>
      <c r="P27" s="40">
        <v>95</v>
      </c>
    </row>
    <row r="28" spans="1:16" ht="15" customHeight="1" x14ac:dyDescent="0.25">
      <c r="A28" s="3">
        <v>15</v>
      </c>
      <c r="B28" s="56" t="s">
        <v>54</v>
      </c>
      <c r="C28" s="80">
        <v>1560.4</v>
      </c>
      <c r="D28" s="80">
        <f>1442+74.8</f>
        <v>1516.8</v>
      </c>
      <c r="E28" s="80">
        <f>D28-209.9</f>
        <v>1306.8999999999999</v>
      </c>
      <c r="F28" s="84">
        <v>59</v>
      </c>
      <c r="G28" s="37">
        <v>1430699.87</v>
      </c>
      <c r="H28" s="112">
        <v>230449.98</v>
      </c>
      <c r="I28" s="112">
        <v>663136.54</v>
      </c>
      <c r="J28" s="112">
        <v>322508.36</v>
      </c>
      <c r="K28" s="22">
        <f>ROUND((15%*G28/1),2)+0.01</f>
        <v>214604.99000000002</v>
      </c>
      <c r="L28" s="79"/>
      <c r="M28" s="87" t="s">
        <v>91</v>
      </c>
      <c r="N28" s="89">
        <v>56634.8</v>
      </c>
      <c r="O28" s="89">
        <v>52007.199999999997</v>
      </c>
      <c r="P28" s="40">
        <v>92</v>
      </c>
    </row>
    <row r="29" spans="1:16" ht="15" customHeight="1" x14ac:dyDescent="0.25">
      <c r="A29" s="3">
        <v>16</v>
      </c>
      <c r="B29" s="58" t="s">
        <v>55</v>
      </c>
      <c r="C29" s="80">
        <f>9111.2+672.3</f>
        <v>9783.5</v>
      </c>
      <c r="D29" s="80">
        <v>9111.2000000000007</v>
      </c>
      <c r="E29" s="80">
        <f>D29-623.1</f>
        <v>8488.1</v>
      </c>
      <c r="F29" s="84">
        <v>308</v>
      </c>
      <c r="G29" s="37">
        <f>3*1600000</f>
        <v>4800000</v>
      </c>
      <c r="H29" s="112">
        <v>773160</v>
      </c>
      <c r="I29" s="112">
        <v>2224824</v>
      </c>
      <c r="J29" s="112">
        <v>1082016</v>
      </c>
      <c r="K29" s="22">
        <f t="shared" si="1"/>
        <v>720000</v>
      </c>
      <c r="L29" s="79"/>
      <c r="M29" s="87" t="s">
        <v>91</v>
      </c>
      <c r="N29" s="89">
        <v>486948.77</v>
      </c>
      <c r="O29" s="89">
        <v>440363.28</v>
      </c>
      <c r="P29" s="40">
        <v>90</v>
      </c>
    </row>
    <row r="30" spans="1:16" ht="15" customHeight="1" x14ac:dyDescent="0.25">
      <c r="A30" s="3">
        <v>17</v>
      </c>
      <c r="B30" s="56" t="s">
        <v>56</v>
      </c>
      <c r="C30" s="80">
        <v>2402.6999999999998</v>
      </c>
      <c r="D30" s="80">
        <v>2194.1999999999998</v>
      </c>
      <c r="E30" s="80">
        <f>D30-538.7</f>
        <v>1655.4999999999998</v>
      </c>
      <c r="F30" s="84">
        <v>124</v>
      </c>
      <c r="G30" s="37">
        <v>2124055.86</v>
      </c>
      <c r="H30" s="112">
        <v>342132.3</v>
      </c>
      <c r="I30" s="112">
        <v>984510.51</v>
      </c>
      <c r="J30" s="112">
        <v>478804.67</v>
      </c>
      <c r="K30" s="22">
        <f t="shared" si="1"/>
        <v>318608.38</v>
      </c>
      <c r="L30" s="79"/>
      <c r="M30" s="87" t="s">
        <v>91</v>
      </c>
      <c r="N30" s="89">
        <v>83653.100000000006</v>
      </c>
      <c r="O30" s="89">
        <v>75479.289999999994</v>
      </c>
      <c r="P30" s="40">
        <v>90</v>
      </c>
    </row>
    <row r="31" spans="1:16" ht="15" customHeight="1" x14ac:dyDescent="0.25">
      <c r="A31" s="3"/>
      <c r="B31" s="56" t="s">
        <v>35</v>
      </c>
      <c r="C31" s="85">
        <f t="shared" ref="C31:F31" si="2">SUM(C14:C30)</f>
        <v>61192.900000000009</v>
      </c>
      <c r="D31" s="85">
        <f t="shared" si="2"/>
        <v>56443.600000000006</v>
      </c>
      <c r="E31" s="85">
        <f t="shared" si="2"/>
        <v>48999.69999999999</v>
      </c>
      <c r="F31" s="84">
        <f t="shared" si="2"/>
        <v>2469</v>
      </c>
      <c r="G31" s="85">
        <f t="shared" ref="G31:O31" si="3">SUM(G14:G30)</f>
        <v>44216411.760000005</v>
      </c>
      <c r="H31" s="25">
        <f t="shared" si="3"/>
        <v>7122158.5299999993</v>
      </c>
      <c r="I31" s="25">
        <f t="shared" si="3"/>
        <v>20494527.920000002</v>
      </c>
      <c r="J31" s="86">
        <f t="shared" si="3"/>
        <v>9967263.5199999996</v>
      </c>
      <c r="K31" s="25">
        <f t="shared" si="3"/>
        <v>6632461.790000001</v>
      </c>
      <c r="L31" s="25"/>
      <c r="M31" s="25"/>
      <c r="N31" s="89">
        <f t="shared" si="3"/>
        <v>3355926.1399999997</v>
      </c>
      <c r="O31" s="89">
        <f t="shared" si="3"/>
        <v>3087322.58</v>
      </c>
      <c r="P31" s="91">
        <f>O31/N31*100</f>
        <v>91.996142084342779</v>
      </c>
    </row>
    <row r="32" spans="1:16" ht="15" customHeight="1" x14ac:dyDescent="0.25">
      <c r="A32" s="143" t="s">
        <v>34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</row>
    <row r="33" spans="1:16" ht="15" customHeight="1" x14ac:dyDescent="0.25">
      <c r="A33" s="3">
        <v>18</v>
      </c>
      <c r="B33" s="56" t="s">
        <v>57</v>
      </c>
      <c r="C33" s="80">
        <v>1943.5</v>
      </c>
      <c r="D33" s="80">
        <v>1913.3</v>
      </c>
      <c r="E33" s="80">
        <f>D33-117.4</f>
        <v>1795.8999999999999</v>
      </c>
      <c r="F33" s="84">
        <v>97</v>
      </c>
      <c r="G33" s="37">
        <f>1600000</f>
        <v>1600000</v>
      </c>
      <c r="H33" s="112">
        <v>257720</v>
      </c>
      <c r="I33" s="112">
        <v>741608</v>
      </c>
      <c r="J33" s="112">
        <v>360672</v>
      </c>
      <c r="K33" s="22">
        <f t="shared" ref="K33:K35" si="4">ROUND((15%*G33/1),2)</f>
        <v>240000</v>
      </c>
      <c r="L33" s="79"/>
      <c r="M33" s="88" t="s">
        <v>93</v>
      </c>
      <c r="N33" s="89">
        <v>110602.8</v>
      </c>
      <c r="O33" s="89">
        <v>112594.16</v>
      </c>
      <c r="P33" s="40">
        <v>102</v>
      </c>
    </row>
    <row r="34" spans="1:16" ht="15" customHeight="1" x14ac:dyDescent="0.25">
      <c r="A34" s="3">
        <v>19</v>
      </c>
      <c r="B34" s="58" t="s">
        <v>58</v>
      </c>
      <c r="C34" s="80">
        <f>2345.2+44</f>
        <v>2389.1999999999998</v>
      </c>
      <c r="D34" s="80">
        <v>2345.1999999999998</v>
      </c>
      <c r="E34" s="80">
        <f>D34-0</f>
        <v>2345.1999999999998</v>
      </c>
      <c r="F34" s="84">
        <v>50</v>
      </c>
      <c r="G34" s="37">
        <v>2109289.92</v>
      </c>
      <c r="H34" s="112">
        <v>339753.87</v>
      </c>
      <c r="I34" s="112">
        <v>977666.42</v>
      </c>
      <c r="J34" s="112">
        <v>475476.13</v>
      </c>
      <c r="K34" s="22">
        <f>ROUND((15%*G34/1),2)+0.01</f>
        <v>316393.5</v>
      </c>
      <c r="L34" s="79"/>
      <c r="M34" s="88" t="s">
        <v>92</v>
      </c>
      <c r="N34" s="89">
        <v>84138.880000000005</v>
      </c>
      <c r="O34" s="89">
        <v>75675.520000000004</v>
      </c>
      <c r="P34" s="40">
        <v>90</v>
      </c>
    </row>
    <row r="35" spans="1:16" ht="15" customHeight="1" x14ac:dyDescent="0.25">
      <c r="A35" s="3">
        <v>20</v>
      </c>
      <c r="B35" s="58" t="s">
        <v>59</v>
      </c>
      <c r="C35" s="80">
        <f>3884.1+164.4</f>
        <v>4048.5</v>
      </c>
      <c r="D35" s="80">
        <v>3884.1</v>
      </c>
      <c r="E35" s="80">
        <f>D35-301.6</f>
        <v>3582.5</v>
      </c>
      <c r="F35" s="84">
        <v>172</v>
      </c>
      <c r="G35" s="37">
        <f>2*1630000</f>
        <v>3260000</v>
      </c>
      <c r="H35" s="112">
        <v>525104.5</v>
      </c>
      <c r="I35" s="112">
        <v>1511026.3</v>
      </c>
      <c r="J35" s="112">
        <v>734869.2</v>
      </c>
      <c r="K35" s="22">
        <f t="shared" si="4"/>
        <v>489000</v>
      </c>
      <c r="L35" s="79"/>
      <c r="M35" s="88" t="s">
        <v>94</v>
      </c>
      <c r="N35" s="89">
        <v>214816.14</v>
      </c>
      <c r="O35" s="89">
        <v>200661.82</v>
      </c>
      <c r="P35" s="40">
        <v>93</v>
      </c>
    </row>
    <row r="36" spans="1:16" ht="15" customHeight="1" x14ac:dyDescent="0.25">
      <c r="A36" s="3"/>
      <c r="B36" s="56" t="s">
        <v>35</v>
      </c>
      <c r="C36" s="85">
        <f>SUM(C33:C35)</f>
        <v>8381.2000000000007</v>
      </c>
      <c r="D36" s="85">
        <f>SUM(D33:D35)</f>
        <v>8142.6</v>
      </c>
      <c r="E36" s="85">
        <f>SUM(E33:E35)</f>
        <v>7723.5999999999995</v>
      </c>
      <c r="F36" s="84">
        <f>SUM(F33:F35)</f>
        <v>319</v>
      </c>
      <c r="G36" s="85">
        <f>SUM(G33:G35)</f>
        <v>6969289.9199999999</v>
      </c>
      <c r="H36" s="85">
        <f>H33+H34+H35</f>
        <v>1122578.3700000001</v>
      </c>
      <c r="I36" s="85">
        <f>SUM(I33:I35)</f>
        <v>3230300.7199999997</v>
      </c>
      <c r="J36" s="85">
        <f>SUM(J33:J35)</f>
        <v>1571017.33</v>
      </c>
      <c r="K36" s="85">
        <f>SUM(K33:K35)</f>
        <v>1045393.5</v>
      </c>
      <c r="L36" s="85"/>
      <c r="M36" s="85"/>
      <c r="N36" s="85">
        <f t="shared" ref="N36:O36" si="5">SUM(N33:N35)</f>
        <v>409557.82</v>
      </c>
      <c r="O36" s="85">
        <f t="shared" si="5"/>
        <v>388931.5</v>
      </c>
      <c r="P36" s="91">
        <f>O36/N36*100</f>
        <v>94.96375871909855</v>
      </c>
    </row>
    <row r="37" spans="1:16" ht="15" customHeight="1" x14ac:dyDescent="0.25">
      <c r="A37" s="141" t="s">
        <v>36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</row>
    <row r="38" spans="1:16" ht="15" customHeight="1" x14ac:dyDescent="0.3">
      <c r="A38" s="105"/>
      <c r="B38" s="4"/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"/>
      <c r="M38" s="105"/>
      <c r="N38" s="105">
        <v>0</v>
      </c>
      <c r="O38" s="105">
        <v>0</v>
      </c>
      <c r="P38" s="14" t="s">
        <v>90</v>
      </c>
    </row>
    <row r="39" spans="1:16" ht="15" customHeight="1" x14ac:dyDescent="0.25">
      <c r="A39" s="105"/>
      <c r="B39" s="53" t="s">
        <v>35</v>
      </c>
      <c r="C39" s="10">
        <f t="shared" ref="C39:K39" si="6">SUM(C38)</f>
        <v>0</v>
      </c>
      <c r="D39" s="10">
        <f t="shared" si="6"/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"/>
      <c r="M39" s="105"/>
      <c r="N39" s="105">
        <v>0</v>
      </c>
      <c r="O39" s="105">
        <v>0</v>
      </c>
      <c r="P39" s="14" t="s">
        <v>90</v>
      </c>
    </row>
    <row r="40" spans="1:16" ht="15" customHeight="1" x14ac:dyDescent="0.25">
      <c r="A40" s="7"/>
      <c r="B40" s="55" t="s">
        <v>37</v>
      </c>
      <c r="C40" s="24">
        <f t="shared" ref="C40:K40" si="7">C31+C36+C39</f>
        <v>69574.100000000006</v>
      </c>
      <c r="D40" s="24">
        <f t="shared" si="7"/>
        <v>64586.200000000004</v>
      </c>
      <c r="E40" s="24">
        <f t="shared" si="7"/>
        <v>56723.299999999988</v>
      </c>
      <c r="F40" s="84">
        <f t="shared" si="7"/>
        <v>2788</v>
      </c>
      <c r="G40" s="24">
        <f t="shared" si="7"/>
        <v>51185701.680000007</v>
      </c>
      <c r="H40" s="24">
        <f t="shared" si="7"/>
        <v>8244736.8999999994</v>
      </c>
      <c r="I40" s="24">
        <f t="shared" si="7"/>
        <v>23724828.640000001</v>
      </c>
      <c r="J40" s="24">
        <f t="shared" si="7"/>
        <v>11538280.85</v>
      </c>
      <c r="K40" s="24">
        <f t="shared" si="7"/>
        <v>7677855.290000001</v>
      </c>
      <c r="L40" s="12"/>
      <c r="M40" s="7"/>
      <c r="N40" s="89">
        <f>N36+N31</f>
        <v>3765483.9599999995</v>
      </c>
      <c r="O40" s="89">
        <f>O31+O36</f>
        <v>3476254.08</v>
      </c>
      <c r="P40" s="90">
        <v>92.3</v>
      </c>
    </row>
    <row r="43" spans="1:16" ht="15.75" x14ac:dyDescent="0.25">
      <c r="B43" s="30" t="s">
        <v>103</v>
      </c>
      <c r="C43" s="30"/>
      <c r="D43" s="31"/>
      <c r="E43" s="31"/>
      <c r="F43" s="31"/>
      <c r="G43" s="31"/>
      <c r="H43" s="31"/>
      <c r="I43" s="31"/>
      <c r="J43" s="31"/>
      <c r="K43" s="31"/>
      <c r="L43" s="32"/>
      <c r="M43" s="33"/>
      <c r="N43" s="32"/>
      <c r="O43" s="33"/>
      <c r="P43" s="34"/>
    </row>
    <row r="44" spans="1:16" ht="15.75" x14ac:dyDescent="0.25">
      <c r="B44" s="28" t="s">
        <v>38</v>
      </c>
      <c r="C44" s="29"/>
      <c r="D44" s="29"/>
      <c r="E44" s="29"/>
      <c r="F44" s="29"/>
      <c r="G44" s="29"/>
      <c r="H44" s="29"/>
      <c r="I44" s="29" t="s">
        <v>104</v>
      </c>
      <c r="J44" s="29"/>
      <c r="K44" s="29"/>
      <c r="L44" s="29"/>
      <c r="M44" s="29"/>
      <c r="O44" s="29"/>
      <c r="P44" s="29"/>
    </row>
    <row r="45" spans="1:16" ht="15.6" x14ac:dyDescent="0.3">
      <c r="B45" s="30"/>
      <c r="C45" s="30"/>
      <c r="D45" s="31"/>
      <c r="E45" s="31"/>
      <c r="F45" s="31"/>
      <c r="G45" s="31"/>
      <c r="H45" s="31"/>
      <c r="I45" s="31"/>
      <c r="J45" s="31"/>
      <c r="K45" s="31"/>
      <c r="L45" s="32"/>
      <c r="M45" s="33"/>
      <c r="N45" s="32"/>
      <c r="O45" s="33"/>
      <c r="P45" s="34"/>
    </row>
    <row r="46" spans="1:16" ht="15.6" x14ac:dyDescent="0.3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6" ht="15.6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15.6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2:16" ht="15.6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</sheetData>
  <mergeCells count="21">
    <mergeCell ref="C5:M5"/>
    <mergeCell ref="L7:L10"/>
    <mergeCell ref="M7:M10"/>
    <mergeCell ref="B7:B10"/>
    <mergeCell ref="C7:C9"/>
    <mergeCell ref="D7:E7"/>
    <mergeCell ref="F7:F9"/>
    <mergeCell ref="G7:K7"/>
    <mergeCell ref="A6:P6"/>
    <mergeCell ref="A12:B12"/>
    <mergeCell ref="A13:P13"/>
    <mergeCell ref="A32:P32"/>
    <mergeCell ref="A37:P37"/>
    <mergeCell ref="N7:N10"/>
    <mergeCell ref="O7:O10"/>
    <mergeCell ref="P7:P10"/>
    <mergeCell ref="D8:D9"/>
    <mergeCell ref="E8:E9"/>
    <mergeCell ref="G8:G9"/>
    <mergeCell ref="H8:K8"/>
    <mergeCell ref="A7:A10"/>
  </mergeCells>
  <pageMargins left="0.27559055118110237" right="0.19685039370078741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2 ч.1</vt:lpstr>
      <vt:lpstr>Приложение 2 ч.2</vt:lpstr>
      <vt:lpstr>Приложение 2 ч.3</vt:lpstr>
      <vt:lpstr>Приложение 2 ч.4</vt:lpstr>
      <vt:lpstr>'Приложение 2 ч.1'!Область_печати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Сергей Ю. Новиков</cp:lastModifiedBy>
  <cp:lastPrinted>2015-11-20T10:23:39Z</cp:lastPrinted>
  <dcterms:created xsi:type="dcterms:W3CDTF">2014-05-06T05:36:05Z</dcterms:created>
  <dcterms:modified xsi:type="dcterms:W3CDTF">2015-12-03T12:34:17Z</dcterms:modified>
</cp:coreProperties>
</file>